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<sst xmlns="http://schemas.openxmlformats.org/spreadsheetml/2006/main" count="3128" uniqueCount="571">
  <si>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</si>
  <si>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</si>
  <si>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</si>
  <si>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</si>
  <si>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</si>
  <si>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</si>
  <si>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</si>
  <si>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</si>
  <si>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</si>
  <si>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</si>
  <si>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</si>
  <si>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</si>
  <si>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</si>
  <si>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</si>
  <si>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</si>
  <si>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</si>
  <si>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</si>
  <si>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</si>
  <si>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</si>
  <si>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</si>
  <si>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</si>
  <si>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</si>
  <si>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</si>
  <si>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</si>
  <si>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</si>
  <si>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</si>
  <si>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</si>
  <si>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</si>
  <si>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</si>
  <si>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</si>
  <si>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</si>
  <si>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</si>
  <si>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</si>
  <si>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</si>
  <si>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</si>
  <si>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</si>
  <si>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</si>
  <si>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</si>
  <si>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</si>
  <si>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</si>
  <si>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</si>
  <si>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</si>
  <si>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</si>
  <si>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</si>
  <si>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</si>
  <si>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</si>
  <si>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</si>
  <si>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</si>
  <si>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</si>
  <si>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</si>
  <si>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</si>
  <si>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</si>
  <si>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</si>
  <si>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</si>
  <si>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</si>
  <si>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</si>
  <si>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</si>
  <si>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</si>
  <si>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</si>
  <si>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</si>
  <si>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</si>
  <si>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</si>
  <si>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</si>
  <si>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</si>
  <si>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</si>
  <si>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</si>
  <si>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</si>
  <si>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</si>
  <si>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</si>
  <si>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</si>
  <si>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</si>
  <si>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</si>
  <si>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</si>
  <si>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</si>
  <si>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</si>
  <si>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</si>
  <si>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</si>
  <si>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</si>
  <si>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</si>
  <si>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</si>
  <si>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</si>
  <si>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</si>
  <si>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</si>
  <si>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</si>
  <si>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</si>
  <si>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</si>
  <si>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</si>
  <si>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</si>
  <si>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</si>
  <si>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</si>
  <si>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</si>
  <si>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</si>
  <si>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</si>
  <si>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</si>
  <si>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</si>
  <si>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</si>
  <si>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</si>
  <si>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</si>
  <si>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</si>
  <si>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</si>
  <si>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</si>
  <si>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</si>
  <si>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</si>
  <si>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</si>
  <si>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</si>
  <si>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</si>
  <si>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</si>
  <si>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</si>
  <si>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</si>
  <si>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</si>
  <si>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</si>
  <si>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</si>
  <si>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</si>
  <si>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</si>
  <si>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</si>
  <si>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</si>
  <si>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</si>
  <si>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</si>
  <si>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</si>
  <si>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</si>
  <si>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</si>
  <si>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</si>
  <si>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</si>
  <si>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</si>
  <si>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</si>
  <si>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</si>
  <si>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</si>
  <si>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</si>
  <si>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</si>
  <si>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</si>
  <si>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</si>
  <si>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</si>
  <si>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</si>
  <si>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</si>
  <si>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</si>
  <si>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</si>
  <si>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</si>
  <si>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</si>
  <si>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</si>
  <si>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</si>
  <si>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</si>
  <si>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</si>
  <si>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</si>
  <si>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</si>
  <si>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</si>
  <si>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</si>
  <si>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</si>
  <si>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</si>
  <si>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</si>
  <si>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</si>
  <si>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</si>
  <si>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</si>
  <si>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</si>
  <si>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</si>
  <si>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</si>
  <si>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</si>
  <si>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</si>
  <si>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</si>
  <si>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</si>
  <si>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</si>
  <si>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</si>
  <si>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</si>
  <si>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</si>
  <si>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</si>
  <si>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</si>
  <si>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</si>
  <si>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</si>
  <si>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</si>
  <si>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</si>
  <si>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</si>
  <si>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</si>
  <si>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</si>
  <si>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</si>
  <si>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</si>
  <si>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</si>
  <si>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</si>
  <si>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</si>
  <si>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</si>
  <si>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</si>
  <si>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</si>
  <si>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</si>
  <si>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</si>
  <si>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</si>
  <si>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</si>
  <si>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</si>
  <si>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</si>
  <si>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</si>
  <si>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</si>
  <si>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</si>
  <si>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</si>
  <si>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</si>
  <si>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</si>
  <si>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</si>
  <si>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</si>
  <si>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</si>
  <si>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</si>
  <si>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</si>
  <si>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</si>
  <si>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</si>
  <si>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</si>
  <si>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</si>
  <si>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</si>
  <si>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</si>
  <si>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</si>
  <si>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</si>
  <si>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</si>
  <si>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</si>
  <si>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</si>
  <si>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</si>
  <si>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</si>
  <si>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</si>
  <si>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</si>
  <si>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</si>
  <si>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</si>
  <si>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</si>
  <si>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</si>
  <si>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</si>
  <si>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</si>
  <si>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</si>
  <si>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</si>
  <si>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</si>
  <si>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</si>
  <si>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</si>
  <si>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</si>
  <si>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</si>
  <si>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</si>
  <si>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</si>
  <si>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</si>
  <si>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</si>
  <si>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</si>
  <si>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</si>
  <si>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</si>
  <si>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</si>
  <si>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</si>
  <si>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</si>
  <si>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</si>
  <si>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</si>
  <si>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</si>
  <si>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</si>
  <si>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</si>
  <si>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</si>
  <si>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</si>
  <si>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</si>
  <si>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</si>
  <si>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</si>
  <si>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</si>
  <si>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</si>
  <si>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</si>
  <si>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</si>
  <si>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</si>
  <si>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</si>
  <si>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</si>
  <si>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</si>
  <si>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</si>
  <si>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</si>
  <si>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</si>
  <si>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</si>
  <si>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</si>
  <si>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</si>
  <si>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</si>
  <si>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</si>
  <si>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</si>
  <si>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</si>
  <si>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</si>
  <si>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</si>
  <si>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</si>
  <si>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</si>
  <si>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</si>
  <si>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</si>
  <si>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</si>
  <si>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</si>
  <si>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</si>
  <si>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</si>
  <si>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</si>
  <si>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</si>
  <si>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</si>
  <si>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</si>
  <si>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</si>
  <si>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</si>
  <si>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</si>
  <si>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</si>
  <si>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</si>
  <si>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</si>
  <si>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</si>
  <si>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</si>
  <si>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</si>
  <si>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</si>
  <si>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</si>
  <si>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</si>
  <si>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</si>
  <si>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</si>
  <si>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</si>
  <si>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</si>
  <si>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</si>
  <si>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</si>
  <si>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</si>
  <si>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</si>
  <si>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</si>
  <si>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</si>
  <si>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</si>
  <si>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</si>
  <si>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</si>
  <si>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</si>
  <si>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</si>
  <si>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</si>
  <si>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</si>
  <si>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</si>
  <si>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</si>
  <si>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</si>
  <si>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</si>
  <si>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</si>
  <si>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</si>
  <si>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</si>
  <si>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</si>
  <si>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</si>
  <si>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</si>
  <si>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</si>
  <si>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</si>
  <si>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</si>
  <si>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</si>
  <si>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</si>
  <si>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</si>
  <si>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</si>
  <si>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</si>
  <si>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</si>
  <si>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</si>
  <si>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</si>
  <si>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</si>
  <si>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</si>
  <si>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</si>
  <si>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</si>
  <si>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</si>
  <si>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</si>
  <si>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</si>
  <si>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</si>
  <si>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</si>
  <si>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</si>
  <si>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</si>
  <si>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</si>
  <si>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</si>
  <si>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</si>
  <si>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</si>
  <si>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</si>
  <si>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</si>
  <si>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</si>
  <si>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</si>
  <si>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</si>
  <si>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</si>
  <si>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</si>
  <si>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</si>
  <si>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</si>
  <si>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</si>
  <si>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</si>
  <si>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</si>
  <si>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</si>
  <si>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</si>
  <si>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</si>
  <si>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</si>
  <si>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</si>
  <si>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</si>
  <si>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</si>
  <si>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</si>
  <si>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</si>
  <si>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</si>
  <si>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</si>
  <si>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</si>
  <si>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</si>
  <si>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</si>
  <si>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</si>
  <si>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</si>
  <si>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</si>
  <si>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</si>
  <si>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</si>
  <si>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</si>
  <si>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</si>
  <si>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</si>
  <si>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</si>
  <si>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</si>
  <si>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</si>
  <si>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</si>
  <si>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</si>
  <si>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</si>
  <si>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</si>
  <si>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</si>
  <si>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</si>
  <si>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</si>
  <si>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</si>
  <si>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</si>
  <si>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</si>
  <si>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</si>
  <si>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</si>
  <si>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</si>
  <si>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</si>
  <si>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</si>
  <si>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</si>
  <si>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</si>
  <si>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</si>
  <si>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</si>
  <si>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</si>
  <si>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</si>
  <si>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</si>
  <si>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</si>
  <si>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</si>
  <si>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</si>
  <si>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</si>
  <si>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</si>
  <si>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</si>
  <si>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</si>
  <si>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</si>
  <si>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</si>
  <si>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</si>
  <si>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</si>
  <si>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</si>
  <si>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</si>
  <si>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</si>
  <si>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</si>
  <si>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</si>
  <si>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</si>
  <si>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</si>
  <si>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</si>
  <si>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</si>
  <si>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</si>
  <si>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</si>
  <si>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</si>
  <si>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</si>
  <si>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</si>
  <si>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</si>
  <si>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</si>
  <si>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</si>
  <si>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</si>
  <si>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</si>
  <si>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</si>
  <si>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</si>
  <si>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</si>
  <si>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</si>
  <si>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</si>
  <si>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</si>
  <si>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</si>
  <si>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</si>
  <si>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</si>
  <si>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</si>
  <si>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</si>
  <si>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</si>
  <si>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</si>
  <si>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</si>
  <si>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</si>
  <si>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</si>
  <si>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</si>
  <si>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</si>
  <si>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</si>
  <si>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</si>
  <si>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</si>
  <si>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</si>
  <si>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</si>
  <si>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</si>
  <si>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</si>
  <si>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</si>
  <si>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</si>
  <si>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</si>
  <si>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</si>
  <si>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</si>
  <si>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</si>
  <si>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</si>
  <si>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</si>
  <si>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</si>
  <si>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</si>
  <si>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</si>
  <si>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</si>
  <si>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</si>
  <si>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</si>
  <si>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</si>
  <si>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</si>
  <si>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</si>
  <si>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</si>
  <si>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</si>
  <si>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</si>
  <si>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</si>
  <si>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</si>
  <si>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</si>
  <si>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</si>
  <si>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</si>
  <si>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</si>
  <si>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</si>
  <si>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</si>
  <si>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</si>
  <si>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</si>
  <si>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</si>
  <si>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</si>
  <si>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</si>
  <si>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</si>
  <si>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</si>
  <si>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</si>
  <si>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</si>
  <si>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</si>
  <si>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</si>
  <si>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</si>
  <si>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</si>
  <si>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</si>
  <si>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</si>
  <si>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</si>
  <si>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</si>
  <si>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</si>
  <si>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</si>
  <si>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</si>
  <si>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</si>
  <si>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</si>
  <si>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</si>
  <si>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</si>
  <si>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</si>
  <si>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</si>
  <si>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</si>
  <si>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</si>
  <si>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</si>
  <si>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</si>
  <si>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</si>
  <si>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</si>
  <si>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</si>
  <si>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</si>
  <si>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</si>
  <si>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</si>
  <si>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</si>
  <si>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</si>
  <si>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</si>
  <si>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〇〇ケアサービス</t>
    <phoneticPr fontId="7"/>
  </si>
  <si>
    <t>○○ケアサービス</t>
    <phoneticPr fontId="7"/>
  </si>
  <si>
    <t>千代田区霞が関１－２－２</t>
    <rPh sb="0" eb="4">
      <t>チヨダク</t>
    </rPh>
    <rPh sb="4" eb="5">
      <t>カスミ</t>
    </rPh>
    <rPh sb="6" eb="7">
      <t>セキ</t>
    </rPh>
    <phoneticPr fontId="7"/>
  </si>
  <si>
    <t>○○ビル18F</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</si>
  <si>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</si>
  <si>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</si>
  <si>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</si>
  <si>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</si>
  <si>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</si>
  <si>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</si>
  <si>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</si>
  <si>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</si>
  <si>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世田谷区</t>
    <rPh sb="0" eb="4">
      <t>セタガヤク</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</si>
  <si>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</si>
  <si>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</si>
  <si>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</si>
  <si>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</si>
  <si>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</si>
  <si>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</si>
  <si>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</si>
  <si>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</si>
  <si>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7"/>
  </si>
  <si>
    <t>介護保険事業所名称０２</t>
    <phoneticPr fontId="7"/>
  </si>
  <si>
    <t>介護保険事業所名称０３</t>
    <phoneticPr fontId="7"/>
  </si>
  <si>
    <t>介護保険事業所名称０４</t>
    <phoneticPr fontId="7"/>
  </si>
  <si>
    <t>介護保険事業所名称０５</t>
    <phoneticPr fontId="7"/>
  </si>
  <si>
    <t>介護保険事業所名称０６</t>
    <phoneticPr fontId="7"/>
  </si>
  <si>
    <t>介護保険事業所名称０７</t>
    <phoneticPr fontId="7"/>
  </si>
  <si>
    <t>訪問介護</t>
  </si>
  <si>
    <t>通所介護</t>
  </si>
  <si>
    <t>定期巡回･随時対応型訪問介護看護</t>
  </si>
  <si>
    <t>小規模多機能型居宅介護</t>
  </si>
  <si>
    <t>短期入所療養介護（老健）</t>
  </si>
  <si>
    <t>区分変更</t>
  </si>
  <si>
    <t>継続</t>
  </si>
  <si>
    <t>新規</t>
  </si>
  <si>
    <t>加算Ⅱ</t>
  </si>
  <si>
    <t>加算Ⅰ</t>
  </si>
  <si>
    <t>特定加算Ⅰ</t>
  </si>
  <si>
    <t>特定加算Ⅱ</t>
  </si>
  <si>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</si>
  <si>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</si>
  <si>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</si>
  <si>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phoneticPr fontId="7"/>
  </si>
  <si>
    <t>元</t>
    <rPh sb="0" eb="1">
      <t>ガン</t>
    </rPh>
    <phoneticPr fontId="7"/>
  </si>
  <si>
    <t>○実務経験が３年以上の介護職員に対し、実務者研修の受講費用として、○○万円を支給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</si>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</sst>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61</xdr:row>
          <xdr:rowOff>227134</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F1" zoomScaleNormal="100" zoomScaleSheetLayoutView="100" workbookViewId="0">
      <selection activeCell="R11" sqref="R11:W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t="s">
        <v>523</v>
      </c>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t="s">
        <v>524</v>
      </c>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v>1</v>
      </c>
      <c r="N17" s="175">
        <v>0</v>
      </c>
      <c r="O17" s="175">
        <v>0</v>
      </c>
      <c r="P17" s="176" t="s">
        <v>124</v>
      </c>
      <c r="Q17" s="175">
        <v>1</v>
      </c>
      <c r="R17" s="175">
        <v>2</v>
      </c>
      <c r="S17" s="175">
        <v>3</v>
      </c>
      <c r="T17" s="177">
        <v>4</v>
      </c>
      <c r="U17" s="178"/>
      <c r="V17" s="179"/>
      <c r="W17" s="179"/>
      <c r="X17" s="179"/>
      <c r="Y17" s="170"/>
      <c r="Z17" s="170"/>
      <c r="AA17" s="170"/>
      <c r="AC17" t="str">
        <f>CONCATENATE(M17,N17,O17,P17,Q17,R17,S17,T17)</f>
        <v>100－1234</v>
      </c>
    </row>
    <row r="18" spans="1:29" ht="20.100000000000001" customHeight="1">
      <c r="A18" s="170"/>
      <c r="B18" s="180"/>
      <c r="C18" s="901" t="s">
        <v>122</v>
      </c>
      <c r="D18" s="901"/>
      <c r="E18" s="901"/>
      <c r="F18" s="901"/>
      <c r="G18" s="901"/>
      <c r="H18" s="901"/>
      <c r="I18" s="901"/>
      <c r="J18" s="901"/>
      <c r="K18" s="901"/>
      <c r="L18" s="902"/>
      <c r="M18" s="918" t="s">
        <v>525</v>
      </c>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t="s">
        <v>526</v>
      </c>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t="s">
        <v>527</v>
      </c>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t="s">
        <v>528</v>
      </c>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t="s">
        <v>529</v>
      </c>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t="s">
        <v>530</v>
      </c>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t="s">
        <v>531</v>
      </c>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t="s">
        <v>532</v>
      </c>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t="s">
        <v>533</v>
      </c>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v>1</v>
      </c>
      <c r="D33" s="185">
        <v>3</v>
      </c>
      <c r="E33" s="185">
        <v>3</v>
      </c>
      <c r="F33" s="185">
        <v>4</v>
      </c>
      <c r="G33" s="185">
        <v>5</v>
      </c>
      <c r="H33" s="185">
        <v>6</v>
      </c>
      <c r="I33" s="185">
        <v>7</v>
      </c>
      <c r="J33" s="185">
        <v>8</v>
      </c>
      <c r="K33" s="185">
        <v>9</v>
      </c>
      <c r="L33" s="186">
        <v>1</v>
      </c>
      <c r="M33" s="911" t="s">
        <v>534</v>
      </c>
      <c r="N33" s="912"/>
      <c r="O33" s="912"/>
      <c r="P33" s="912"/>
      <c r="Q33" s="913"/>
      <c r="R33" s="911" t="s">
        <v>534</v>
      </c>
      <c r="S33" s="912"/>
      <c r="T33" s="912"/>
      <c r="U33" s="912"/>
      <c r="V33" s="913"/>
      <c r="W33" s="859" t="s">
        <v>540</v>
      </c>
      <c r="X33" s="187" t="s">
        <v>544</v>
      </c>
      <c r="Y33" s="187" t="s">
        <v>551</v>
      </c>
      <c r="Z33" s="680">
        <v>250000</v>
      </c>
      <c r="AA33" s="675">
        <v>11.4</v>
      </c>
      <c r="AB33" s="677">
        <v>290750</v>
      </c>
    </row>
    <row r="34" spans="1:28" ht="37.5" customHeight="1">
      <c r="A34" s="170"/>
      <c r="B34" s="171">
        <f>B33+1</f>
        <v>2</v>
      </c>
      <c r="C34" s="188">
        <v>1</v>
      </c>
      <c r="D34" s="189">
        <v>3</v>
      </c>
      <c r="E34" s="189">
        <v>3</v>
      </c>
      <c r="F34" s="189">
        <v>4</v>
      </c>
      <c r="G34" s="189">
        <v>5</v>
      </c>
      <c r="H34" s="189">
        <v>6</v>
      </c>
      <c r="I34" s="189">
        <v>7</v>
      </c>
      <c r="J34" s="189">
        <v>8</v>
      </c>
      <c r="K34" s="189">
        <v>9</v>
      </c>
      <c r="L34" s="190">
        <v>2</v>
      </c>
      <c r="M34" s="889" t="s">
        <v>534</v>
      </c>
      <c r="N34" s="890"/>
      <c r="O34" s="890"/>
      <c r="P34" s="890"/>
      <c r="Q34" s="891"/>
      <c r="R34" s="889" t="s">
        <v>534</v>
      </c>
      <c r="S34" s="890"/>
      <c r="T34" s="890"/>
      <c r="U34" s="890"/>
      <c r="V34" s="891"/>
      <c r="W34" s="860" t="s">
        <v>541</v>
      </c>
      <c r="X34" s="192" t="s">
        <v>545</v>
      </c>
      <c r="Y34" s="192" t="s">
        <v>552</v>
      </c>
      <c r="Z34" s="681">
        <v>400000</v>
      </c>
      <c r="AA34" s="676">
        <v>10.9</v>
      </c>
      <c r="AB34" s="678">
        <v>427600</v>
      </c>
    </row>
    <row r="35" spans="1:28" ht="37.5" customHeight="1">
      <c r="A35" s="170"/>
      <c r="B35" s="171">
        <f t="shared" ref="B35:B71" si="0">B34+1</f>
        <v>3</v>
      </c>
      <c r="C35" s="188">
        <v>1</v>
      </c>
      <c r="D35" s="189">
        <v>3</v>
      </c>
      <c r="E35" s="189">
        <v>3</v>
      </c>
      <c r="F35" s="189">
        <v>4</v>
      </c>
      <c r="G35" s="189">
        <v>5</v>
      </c>
      <c r="H35" s="189">
        <v>6</v>
      </c>
      <c r="I35" s="189">
        <v>7</v>
      </c>
      <c r="J35" s="189">
        <v>8</v>
      </c>
      <c r="K35" s="189">
        <v>9</v>
      </c>
      <c r="L35" s="190">
        <v>3</v>
      </c>
      <c r="M35" s="889" t="s">
        <v>535</v>
      </c>
      <c r="N35" s="890"/>
      <c r="O35" s="890"/>
      <c r="P35" s="890"/>
      <c r="Q35" s="891"/>
      <c r="R35" s="889" t="s">
        <v>534</v>
      </c>
      <c r="S35" s="890"/>
      <c r="T35" s="890"/>
      <c r="U35" s="890"/>
      <c r="V35" s="891"/>
      <c r="W35" s="860" t="s">
        <v>535</v>
      </c>
      <c r="X35" s="192" t="s">
        <v>546</v>
      </c>
      <c r="Y35" s="192" t="s">
        <v>553</v>
      </c>
      <c r="Z35" s="681">
        <v>400000</v>
      </c>
      <c r="AA35" s="676">
        <v>11.4</v>
      </c>
      <c r="AB35" s="678">
        <v>480000</v>
      </c>
    </row>
    <row r="36" spans="1:28" ht="37.5" customHeight="1">
      <c r="A36" s="170"/>
      <c r="B36" s="171">
        <f t="shared" si="0"/>
        <v>4</v>
      </c>
      <c r="C36" s="188">
        <v>1</v>
      </c>
      <c r="D36" s="189">
        <v>1</v>
      </c>
      <c r="E36" s="189">
        <v>3</v>
      </c>
      <c r="F36" s="189">
        <v>4</v>
      </c>
      <c r="G36" s="189">
        <v>5</v>
      </c>
      <c r="H36" s="189">
        <v>6</v>
      </c>
      <c r="I36" s="189">
        <v>7</v>
      </c>
      <c r="J36" s="189">
        <v>8</v>
      </c>
      <c r="K36" s="189">
        <v>9</v>
      </c>
      <c r="L36" s="190">
        <v>4</v>
      </c>
      <c r="M36" s="889" t="s">
        <v>536</v>
      </c>
      <c r="N36" s="890"/>
      <c r="O36" s="890"/>
      <c r="P36" s="890"/>
      <c r="Q36" s="891"/>
      <c r="R36" s="889" t="s">
        <v>536</v>
      </c>
      <c r="S36" s="890"/>
      <c r="T36" s="890"/>
      <c r="U36" s="890"/>
      <c r="V36" s="891"/>
      <c r="W36" s="860" t="s">
        <v>542</v>
      </c>
      <c r="X36" s="192" t="s">
        <v>547</v>
      </c>
      <c r="Y36" s="192" t="s">
        <v>26</v>
      </c>
      <c r="Z36" s="681">
        <v>2000000</v>
      </c>
      <c r="AA36" s="676">
        <v>10.68</v>
      </c>
      <c r="AB36" s="678">
        <v>2220000</v>
      </c>
    </row>
    <row r="37" spans="1:28" ht="37.5" customHeight="1">
      <c r="A37" s="170"/>
      <c r="B37" s="171">
        <f t="shared" si="0"/>
        <v>5</v>
      </c>
      <c r="C37" s="188">
        <v>1</v>
      </c>
      <c r="D37" s="189">
        <v>4</v>
      </c>
      <c r="E37" s="189">
        <v>3</v>
      </c>
      <c r="F37" s="189">
        <v>4</v>
      </c>
      <c r="G37" s="189">
        <v>5</v>
      </c>
      <c r="H37" s="189">
        <v>6</v>
      </c>
      <c r="I37" s="189">
        <v>7</v>
      </c>
      <c r="J37" s="189">
        <v>8</v>
      </c>
      <c r="K37" s="189">
        <v>9</v>
      </c>
      <c r="L37" s="190">
        <v>5</v>
      </c>
      <c r="M37" s="889" t="s">
        <v>537</v>
      </c>
      <c r="N37" s="890"/>
      <c r="O37" s="890"/>
      <c r="P37" s="890"/>
      <c r="Q37" s="891"/>
      <c r="R37" s="889" t="s">
        <v>539</v>
      </c>
      <c r="S37" s="890"/>
      <c r="T37" s="890"/>
      <c r="U37" s="890"/>
      <c r="V37" s="891"/>
      <c r="W37" s="860" t="s">
        <v>537</v>
      </c>
      <c r="X37" s="192" t="s">
        <v>548</v>
      </c>
      <c r="Y37" s="192" t="s">
        <v>554</v>
      </c>
      <c r="Z37" s="681">
        <v>400000</v>
      </c>
      <c r="AA37" s="676">
        <v>10.88</v>
      </c>
      <c r="AB37" s="678">
        <v>435600</v>
      </c>
    </row>
    <row r="38" spans="1:28" ht="37.5" customHeight="1">
      <c r="A38" s="170"/>
      <c r="B38" s="171">
        <f t="shared" si="0"/>
        <v>6</v>
      </c>
      <c r="C38" s="188">
        <v>1</v>
      </c>
      <c r="D38" s="189">
        <v>2</v>
      </c>
      <c r="E38" s="189">
        <v>3</v>
      </c>
      <c r="F38" s="189">
        <v>4</v>
      </c>
      <c r="G38" s="189">
        <v>5</v>
      </c>
      <c r="H38" s="189">
        <v>6</v>
      </c>
      <c r="I38" s="189">
        <v>7</v>
      </c>
      <c r="J38" s="189">
        <v>8</v>
      </c>
      <c r="K38" s="189">
        <v>9</v>
      </c>
      <c r="L38" s="190">
        <v>6</v>
      </c>
      <c r="M38" s="889" t="s">
        <v>538</v>
      </c>
      <c r="N38" s="890"/>
      <c r="O38" s="890"/>
      <c r="P38" s="890"/>
      <c r="Q38" s="891"/>
      <c r="R38" s="889" t="s">
        <v>538</v>
      </c>
      <c r="S38" s="890"/>
      <c r="T38" s="890"/>
      <c r="U38" s="890"/>
      <c r="V38" s="891"/>
      <c r="W38" s="860" t="s">
        <v>543</v>
      </c>
      <c r="X38" s="192" t="s">
        <v>549</v>
      </c>
      <c r="Y38" s="192" t="s">
        <v>27</v>
      </c>
      <c r="Z38" s="681">
        <v>2800000</v>
      </c>
      <c r="AA38" s="676">
        <v>10.68</v>
      </c>
      <c r="AB38" s="678">
        <v>2968000</v>
      </c>
    </row>
    <row r="39" spans="1:28" ht="37.5" customHeight="1">
      <c r="A39" s="170"/>
      <c r="B39" s="171">
        <f t="shared" si="0"/>
        <v>7</v>
      </c>
      <c r="C39" s="188">
        <v>1</v>
      </c>
      <c r="D39" s="189">
        <v>2</v>
      </c>
      <c r="E39" s="189">
        <v>3</v>
      </c>
      <c r="F39" s="189">
        <v>4</v>
      </c>
      <c r="G39" s="189">
        <v>5</v>
      </c>
      <c r="H39" s="189">
        <v>6</v>
      </c>
      <c r="I39" s="189">
        <v>7</v>
      </c>
      <c r="J39" s="189">
        <v>8</v>
      </c>
      <c r="K39" s="189">
        <v>9</v>
      </c>
      <c r="L39" s="190">
        <v>6</v>
      </c>
      <c r="M39" s="889" t="s">
        <v>538</v>
      </c>
      <c r="N39" s="890"/>
      <c r="O39" s="890"/>
      <c r="P39" s="890"/>
      <c r="Q39" s="891"/>
      <c r="R39" s="889" t="s">
        <v>538</v>
      </c>
      <c r="S39" s="890"/>
      <c r="T39" s="890"/>
      <c r="U39" s="890"/>
      <c r="V39" s="891"/>
      <c r="W39" s="860" t="s">
        <v>543</v>
      </c>
      <c r="X39" s="192" t="s">
        <v>550</v>
      </c>
      <c r="Y39" s="192" t="s">
        <v>555</v>
      </c>
      <c r="Z39" s="681">
        <v>300000</v>
      </c>
      <c r="AA39" s="676">
        <v>10.88</v>
      </c>
      <c r="AB39" s="678">
        <v>318000</v>
      </c>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48"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topLeftCell="AF58" zoomScale="130" zoomScaleNormal="120" zoomScaleSheetLayoutView="130" workbookViewId="0">
      <selection activeCell="AR69" sqref="AR69"/>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v>4</v>
      </c>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〇〇ケアサービス</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○○ケアサービス</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100－1234</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千代田区霞が関１－２－２</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○○ビル18F</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コウロウ　タロウ</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厚労　太郎</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03-3571-0000</v>
      </c>
      <c r="L15" s="1020"/>
      <c r="M15" s="1020"/>
      <c r="N15" s="1020"/>
      <c r="O15" s="1020"/>
      <c r="P15" s="1018" t="s">
        <v>1</v>
      </c>
      <c r="Q15" s="1018"/>
      <c r="R15" s="1018"/>
      <c r="S15" s="1018"/>
      <c r="T15" s="1020" t="str">
        <f>IF(基本情報入力シート!M25="","",基本情報入力シート!M25)</f>
        <v>03-3571-9999</v>
      </c>
      <c r="U15" s="1020"/>
      <c r="V15" s="1020"/>
      <c r="W15" s="1020"/>
      <c r="X15" s="1020"/>
      <c r="Y15" s="1018" t="s">
        <v>168</v>
      </c>
      <c r="Z15" s="1018"/>
      <c r="AA15" s="1018"/>
      <c r="AB15" s="1018"/>
      <c r="AC15" s="1021" t="str">
        <f>IF(基本情報入力シート!M26="","",基本情報入力シート!M26)</f>
        <v>aaa@aaa.aa.jp</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f>IF(AD4="","",AD4)</f>
        <v>4</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f>IF('別紙様式2-2 個表_処遇'!O5="","",'別紙様式2-2 個表_処遇'!O5)</f>
        <v>54665280</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f>IFERROR(AB30-AB31,"")</f>
        <v>55000000</v>
      </c>
      <c r="AC29" s="1191"/>
      <c r="AD29" s="1191"/>
      <c r="AE29" s="1191"/>
      <c r="AF29" s="1191"/>
      <c r="AG29" s="1191"/>
      <c r="AH29" s="1191"/>
      <c r="AI29" s="1197" t="s">
        <v>2</v>
      </c>
      <c r="AJ29" s="1039"/>
      <c r="AK29" s="54" t="s">
        <v>257</v>
      </c>
      <c r="AL29" s="61" t="str">
        <f>IF(AB28="","",IF(AB29="","",IF(AB29&gt;AB28,"○","☓")))</f>
        <v>○</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v>343000000</v>
      </c>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f>IF((AB32-AB33-AB34-AB35)=0,"",(AB32-AB33-AB34-AB35))</f>
        <v>288000000</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v>358500000</v>
      </c>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v>54500000</v>
      </c>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v>16000000</v>
      </c>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v>4</v>
      </c>
      <c r="Q36" s="1193"/>
      <c r="R36" s="268" t="s">
        <v>12</v>
      </c>
      <c r="S36" s="1193">
        <v>4</v>
      </c>
      <c r="T36" s="1193"/>
      <c r="U36" s="268" t="s">
        <v>13</v>
      </c>
      <c r="V36" s="1004" t="s">
        <v>14</v>
      </c>
      <c r="W36" s="1004"/>
      <c r="X36" s="268" t="s">
        <v>34</v>
      </c>
      <c r="Y36" s="268"/>
      <c r="Z36" s="1193">
        <v>5</v>
      </c>
      <c r="AA36" s="1193"/>
      <c r="AB36" s="268" t="s">
        <v>12</v>
      </c>
      <c r="AC36" s="1193">
        <v>3</v>
      </c>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f>IF(AD4="","",AD4)</f>
        <v>4</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f>IF('別紙様式2-3 個表_特定'!O5="","",'別紙様式2-3 個表_特定'!O5)</f>
        <v>19173336</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f>IFERROR(AB51-AB52,"")</f>
        <v>19400000</v>
      </c>
      <c r="AC50" s="1191"/>
      <c r="AD50" s="1191"/>
      <c r="AE50" s="1191"/>
      <c r="AF50" s="1191"/>
      <c r="AG50" s="1191"/>
      <c r="AH50" s="1191"/>
      <c r="AI50" s="1197" t="s">
        <v>2</v>
      </c>
      <c r="AJ50" s="1039"/>
      <c r="AK50" s="54" t="s">
        <v>257</v>
      </c>
      <c r="AL50" s="61" t="str">
        <f>IF(AB49="","",IF(AB50="","",IF(AB50&gt;AB49,"○","☓")))</f>
        <v>○</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v>385400000</v>
      </c>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f>IF((AB53-AB54-AB55-AB56)=0,"",(AB53-AB54-AB55-AB56))</f>
        <v>366000000</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v>439500000</v>
      </c>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v>54500000</v>
      </c>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v>19000000</v>
      </c>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v>51000000</v>
      </c>
      <c r="T58" s="1160"/>
      <c r="U58" s="1160"/>
      <c r="V58" s="1160"/>
      <c r="W58" s="1161"/>
      <c r="X58" s="305" t="s">
        <v>274</v>
      </c>
      <c r="Y58" s="1159">
        <v>235000000</v>
      </c>
      <c r="Z58" s="1160"/>
      <c r="AA58" s="1160"/>
      <c r="AB58" s="1160"/>
      <c r="AC58" s="1161"/>
      <c r="AD58" s="306" t="s">
        <v>274</v>
      </c>
      <c r="AE58" s="1159">
        <v>80000000</v>
      </c>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v>220.8</v>
      </c>
      <c r="T59" s="1163"/>
      <c r="U59" s="1163"/>
      <c r="V59" s="1163"/>
      <c r="W59" s="1164"/>
      <c r="X59" s="312" t="s">
        <v>483</v>
      </c>
      <c r="Y59" s="1162">
        <v>1135.8</v>
      </c>
      <c r="Z59" s="1163"/>
      <c r="AA59" s="1163"/>
      <c r="AB59" s="1163"/>
      <c r="AC59" s="1164"/>
      <c r="AD59" s="313" t="s">
        <v>483</v>
      </c>
      <c r="AE59" s="1162">
        <v>420.8</v>
      </c>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v>18.100000000000001</v>
      </c>
      <c r="T60" s="1200"/>
      <c r="U60" s="1200"/>
      <c r="V60" s="1200"/>
      <c r="W60" s="1201"/>
      <c r="X60" s="312" t="s">
        <v>483</v>
      </c>
      <c r="Y60" s="1199">
        <v>94.6</v>
      </c>
      <c r="Z60" s="1200"/>
      <c r="AA60" s="1200"/>
      <c r="AB60" s="1200"/>
      <c r="AC60" s="1201"/>
      <c r="AD60" s="313" t="s">
        <v>483</v>
      </c>
      <c r="AE60" s="1199">
        <v>35.4</v>
      </c>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f>IFERROR(ROUND(S58/S59,),"")</f>
        <v>230978</v>
      </c>
      <c r="T61" s="1157"/>
      <c r="U61" s="1157"/>
      <c r="V61" s="1157"/>
      <c r="W61" s="1158"/>
      <c r="X61" s="312" t="s">
        <v>2</v>
      </c>
      <c r="Y61" s="1156">
        <f>IFERROR(ROUND(Y58/Y59,),"")</f>
        <v>206903</v>
      </c>
      <c r="Z61" s="1157"/>
      <c r="AA61" s="1157"/>
      <c r="AB61" s="1157"/>
      <c r="AC61" s="1158"/>
      <c r="AD61" s="312" t="s">
        <v>2</v>
      </c>
      <c r="AE61" s="1156">
        <f>IFERROR(ROUND(AE58/AE59,),"")</f>
        <v>190114</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88276</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19173547.200000003</v>
      </c>
      <c r="O63" s="1219"/>
      <c r="P63" s="1219"/>
      <c r="Q63" s="324" t="s">
        <v>274</v>
      </c>
      <c r="R63" s="325" t="s">
        <v>275</v>
      </c>
      <c r="S63" s="326" t="s">
        <v>205</v>
      </c>
      <c r="T63" s="1113">
        <f>S60*S62*12</f>
        <v>19173547.200000003</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88275.027624309383</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f>IF((CEILING(AP66,1)-AP66)-2*(CEILING(AQ66,1)-AQ66)&gt;=0,CEILING(AP66,1),CEILING(AP66+AU67/S60/12,1))</f>
        <v>24434</v>
      </c>
      <c r="T64" s="1150"/>
      <c r="U64" s="1150"/>
      <c r="V64" s="1150"/>
      <c r="W64" s="1150"/>
      <c r="X64" s="329" t="s">
        <v>274</v>
      </c>
      <c r="Y64" s="1149">
        <f>IF((CEILING(AP66,1)-AP66)-2*(CEILING(AQ66,1)-AQ66)&gt;=0,CEILING(AQ66,1),FLOOR(AQ66,1))</f>
        <v>12215</v>
      </c>
      <c r="Z64" s="1150"/>
      <c r="AA64" s="1150"/>
      <c r="AB64" s="1150"/>
      <c r="AC64" s="1150"/>
      <c r="AD64" s="329" t="s">
        <v>274</v>
      </c>
      <c r="AE64" s="1239"/>
      <c r="AF64" s="1240"/>
      <c r="AG64" s="1240"/>
      <c r="AH64" s="1240"/>
      <c r="AI64" s="1240"/>
      <c r="AJ64" s="1241"/>
      <c r="AN64" s="85"/>
      <c r="AO64" s="86" t="s">
        <v>150</v>
      </c>
      <c r="AP64" s="87">
        <f>AB49</f>
        <v>19173336</v>
      </c>
      <c r="AQ64" s="88"/>
      <c r="AR64" s="87"/>
      <c r="AS64" s="89">
        <f>SUM(AP64:AR64)</f>
        <v>19173336</v>
      </c>
      <c r="AT64" s="90">
        <f>AS64-S60*S62*12</f>
        <v>-211.20000000298023</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f>SUM(T65,Z65)</f>
        <v>19173532.800000001</v>
      </c>
      <c r="O65" s="1219"/>
      <c r="P65" s="1219"/>
      <c r="Q65" s="324" t="s">
        <v>274</v>
      </c>
      <c r="R65" s="325" t="s">
        <v>275</v>
      </c>
      <c r="S65" s="330" t="s">
        <v>205</v>
      </c>
      <c r="T65" s="1219">
        <f>S60*S64*12</f>
        <v>5307064.8000000007</v>
      </c>
      <c r="U65" s="1219"/>
      <c r="V65" s="1219"/>
      <c r="W65" s="324" t="s">
        <v>274</v>
      </c>
      <c r="X65" s="331" t="s">
        <v>275</v>
      </c>
      <c r="Y65" s="330" t="s">
        <v>205</v>
      </c>
      <c r="Z65" s="1219">
        <f>Y60*Y64*12</f>
        <v>13866468</v>
      </c>
      <c r="AA65" s="1219"/>
      <c r="AB65" s="1219"/>
      <c r="AC65" s="324" t="s">
        <v>274</v>
      </c>
      <c r="AD65" s="331" t="s">
        <v>275</v>
      </c>
      <c r="AE65" s="1242"/>
      <c r="AF65" s="1243"/>
      <c r="AG65" s="1243"/>
      <c r="AH65" s="1243"/>
      <c r="AI65" s="1243"/>
      <c r="AJ65" s="1244"/>
      <c r="AN65" s="80" t="s">
        <v>157</v>
      </c>
      <c r="AO65" s="95" t="s">
        <v>155</v>
      </c>
      <c r="AP65" s="96">
        <v>2</v>
      </c>
      <c r="AQ65" s="97">
        <v>1</v>
      </c>
      <c r="AR65" s="98"/>
      <c r="AS65" s="77"/>
      <c r="AT65" s="83"/>
      <c r="AU65" s="77"/>
      <c r="AV65" s="84" t="s">
        <v>270</v>
      </c>
      <c r="AW65" s="99">
        <f>AP65/AQ65</f>
        <v>2</v>
      </c>
      <c r="AX65" s="100" t="str">
        <f>IF(AW65&lt;1,"  1を上回るよう配分比率を設定してください。","  1を上回ることを確認してください")</f>
        <v xml:space="preserve">  1を上回ることを確認してください</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f>IF((CEILING(AP69,1)-AP69)-2*(CEILING(AQ69,1)-AQ69)&gt;=0,CEILING(AP69,1),CEILING(AP69+(AU69+AU70)/S60/12,1))</f>
        <v>21523</v>
      </c>
      <c r="T66" s="1152"/>
      <c r="U66" s="1152"/>
      <c r="V66" s="1152"/>
      <c r="W66" s="1152"/>
      <c r="X66" s="322" t="s">
        <v>274</v>
      </c>
      <c r="Y66" s="1151">
        <f>IF((CEILING(AP69,1)-AP69)-2*(CEILING(AQ69,1)-AQ69)&gt;=0,CEILING(AQ69,1),FLOOR(AQ69,1))</f>
        <v>10759</v>
      </c>
      <c r="Z66" s="1152"/>
      <c r="AA66" s="1152"/>
      <c r="AB66" s="1152"/>
      <c r="AC66" s="1152"/>
      <c r="AD66" s="322" t="s">
        <v>274</v>
      </c>
      <c r="AE66" s="1152">
        <f>IF(Y66-2*(CEILING(AR69,1))&gt;=0,CEILING(AR69,1),FLOOR(AR69,1))</f>
        <v>5379</v>
      </c>
      <c r="AF66" s="1152"/>
      <c r="AG66" s="1152"/>
      <c r="AH66" s="1152"/>
      <c r="AI66" s="1152"/>
      <c r="AJ66" s="333" t="s">
        <v>274</v>
      </c>
      <c r="AN66" s="102"/>
      <c r="AO66" s="103" t="s">
        <v>149</v>
      </c>
      <c r="AP66" s="104">
        <f>AB49/((S60+Y60/AW65)*12)</f>
        <v>24430.856269113148</v>
      </c>
      <c r="AQ66" s="105">
        <f>AB49/((S60*AW65+Y60)*12)</f>
        <v>12215.428134556574</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f>SUM(T67,Z67,AF67)</f>
        <v>19173411.599999998</v>
      </c>
      <c r="O67" s="1113"/>
      <c r="P67" s="1113"/>
      <c r="Q67" s="327" t="s">
        <v>274</v>
      </c>
      <c r="R67" s="335" t="s">
        <v>275</v>
      </c>
      <c r="S67" s="326" t="s">
        <v>205</v>
      </c>
      <c r="T67" s="1113">
        <f>S60*S66*12</f>
        <v>4674795.6000000006</v>
      </c>
      <c r="U67" s="1113"/>
      <c r="V67" s="1113"/>
      <c r="W67" s="327" t="s">
        <v>274</v>
      </c>
      <c r="X67" s="331" t="s">
        <v>275</v>
      </c>
      <c r="Y67" s="326" t="s">
        <v>205</v>
      </c>
      <c r="Z67" s="1113">
        <f>Y60*Y66*12</f>
        <v>12213616.799999999</v>
      </c>
      <c r="AA67" s="1113"/>
      <c r="AB67" s="1113"/>
      <c r="AC67" s="327" t="s">
        <v>274</v>
      </c>
      <c r="AD67" s="331" t="s">
        <v>275</v>
      </c>
      <c r="AE67" s="327" t="s">
        <v>205</v>
      </c>
      <c r="AF67" s="1113">
        <f>AE60*AE66*12</f>
        <v>2284999.2000000002</v>
      </c>
      <c r="AG67" s="1113"/>
      <c r="AH67" s="1113"/>
      <c r="AI67" s="327" t="s">
        <v>274</v>
      </c>
      <c r="AJ67" s="336" t="s">
        <v>275</v>
      </c>
      <c r="AN67" s="85"/>
      <c r="AO67" s="85" t="s">
        <v>150</v>
      </c>
      <c r="AP67" s="111">
        <f>AB49/(1+Y60/S60/AW65)</f>
        <v>5306381.9816513769</v>
      </c>
      <c r="AQ67" s="112">
        <f>AB49/(S60/Y60*AW65+1)</f>
        <v>13866954.018348623</v>
      </c>
      <c r="AR67" s="111"/>
      <c r="AS67" s="89">
        <f>SUM(AP67:AR67)</f>
        <v>19173336</v>
      </c>
      <c r="AT67" s="90">
        <f>AS67-S60*S64*12-Y60*Y64*12</f>
        <v>-196.80000000074506</v>
      </c>
      <c r="AU67" s="93">
        <f>IF((CEILING(AP66,1)-AP66)-2*(CEILING(AQ66,1)-AQ66)&gt;=0,0,(AQ66-FLOOR(AQ66,1))*Y60*12)</f>
        <v>486.0183486229754</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v>2</v>
      </c>
      <c r="AQ68" s="115">
        <v>1</v>
      </c>
      <c r="AR68" s="116">
        <v>0.5</v>
      </c>
      <c r="AS68" s="106"/>
      <c r="AT68" s="107"/>
      <c r="AU68" s="106"/>
      <c r="AV68" s="108" t="s">
        <v>270</v>
      </c>
      <c r="AW68" s="109">
        <f>AP68/AQ68</f>
        <v>2</v>
      </c>
      <c r="AX68" s="117" t="str">
        <f>IF(AW68&lt;1,"  1を上回るよう配分比率を設定してください。","  1を上回ることを確認してください")</f>
        <v xml:space="preserve">  1を上回ることを確認してください</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f>AB49/((S60+Y60/AW68+AE60/AW70)*12)</f>
        <v>21518.895622895623</v>
      </c>
      <c r="AQ69" s="105">
        <f>AB49/((S60*AW68+Y60+AE60/AW69)*12)</f>
        <v>10759.447811447812</v>
      </c>
      <c r="AR69" s="104">
        <f>AB49/((S60*AW70+Y60*AW69+AE60)*12)</f>
        <v>5379.7239057239058</v>
      </c>
      <c r="AS69" s="106"/>
      <c r="AT69" s="107"/>
      <c r="AU69" s="121">
        <f>IF((CEILING(AP69,1)-AP69)-2*(CEILING(AQ69,1)-AQ69)&gt;=0,0,(AQ69-FLOOR(AQ69,1))*Y60*12)</f>
        <v>508.3555555556668</v>
      </c>
      <c r="AV69" s="108" t="s">
        <v>271</v>
      </c>
      <c r="AW69" s="109">
        <f>AQ68/AR68</f>
        <v>2</v>
      </c>
      <c r="AX69" s="117" t="str">
        <f t="shared" ref="AX69" si="0">IF(AW69&lt;2,"  2以上となるよう配分比率を設定してください。","  2以上であることを確認してください")</f>
        <v xml:space="preserve">  2以上であることを確認してください</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v>7</v>
      </c>
      <c r="Y70" s="1147"/>
      <c r="Z70" s="349" t="s">
        <v>83</v>
      </c>
      <c r="AA70" s="350"/>
      <c r="AB70" s="350"/>
      <c r="AC70" s="1148"/>
      <c r="AD70" s="1148"/>
      <c r="AE70" s="349"/>
      <c r="AF70" s="349"/>
      <c r="AG70" s="349"/>
      <c r="AH70" s="351"/>
      <c r="AI70" s="352"/>
      <c r="AJ70" s="353"/>
      <c r="AN70" s="122"/>
      <c r="AO70" s="85" t="s">
        <v>150</v>
      </c>
      <c r="AP70" s="123">
        <f>AB49/(1+Y60/S60/AW68+AE60/S60/AW70)</f>
        <v>4673904.1292929305</v>
      </c>
      <c r="AQ70" s="89">
        <f>AB49/(S60/Y60*AW68+1+AE60/Y60/AW69)</f>
        <v>12214125.155555554</v>
      </c>
      <c r="AR70" s="123">
        <f>AB49/(S60/AE60*AW70+Y60/AE60*AW69+1)</f>
        <v>2285306.7151515153</v>
      </c>
      <c r="AS70" s="89">
        <f>SUM(AP70:AR70)</f>
        <v>19173336</v>
      </c>
      <c r="AT70" s="90">
        <f>AS70-S60*S66*12-Y60*Y66*12-AE60*AE66*12</f>
        <v>-75.600000000558794</v>
      </c>
      <c r="AU70" s="124">
        <f>IF(Y66-2*(CEILING(AR69,1))&gt;=0,0,(AR69-FLOOR(AR69,1))*AE60*12)</f>
        <v>307.51515151517231</v>
      </c>
      <c r="AV70" s="92" t="s">
        <v>272</v>
      </c>
      <c r="AW70" s="93">
        <f>AP68/AR68</f>
        <v>4</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v>4</v>
      </c>
      <c r="Q76" s="985"/>
      <c r="R76" s="268" t="s">
        <v>12</v>
      </c>
      <c r="S76" s="985">
        <v>4</v>
      </c>
      <c r="T76" s="985"/>
      <c r="U76" s="268" t="s">
        <v>13</v>
      </c>
      <c r="V76" s="1004" t="s">
        <v>14</v>
      </c>
      <c r="W76" s="1004"/>
      <c r="X76" s="268" t="s">
        <v>34</v>
      </c>
      <c r="Y76" s="268"/>
      <c r="Z76" s="985">
        <v>5</v>
      </c>
      <c r="AA76" s="985"/>
      <c r="AB76" s="268" t="s">
        <v>12</v>
      </c>
      <c r="AC76" s="985">
        <v>3</v>
      </c>
      <c r="AD76" s="985"/>
      <c r="AE76" s="268" t="s">
        <v>13</v>
      </c>
      <c r="AF76" s="268" t="s">
        <v>188</v>
      </c>
      <c r="AG76" s="268">
        <f>IF(P76&gt;=1,(Z76*12+AC76)-(P76*12+S76)+1,"")</f>
        <v>12</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t="s">
        <v>563</v>
      </c>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564</v>
      </c>
      <c r="M96" s="1001"/>
      <c r="N96" s="1001"/>
      <c r="O96" s="1083">
        <v>30</v>
      </c>
      <c r="P96" s="1083"/>
      <c r="Q96" s="413" t="s">
        <v>5</v>
      </c>
      <c r="R96" s="1083">
        <v>4</v>
      </c>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t="s">
        <v>565</v>
      </c>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t="s">
        <v>566</v>
      </c>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t="s">
        <v>567</v>
      </c>
      <c r="O110" s="1049"/>
      <c r="P110" s="413" t="s">
        <v>5</v>
      </c>
      <c r="Q110" s="1049">
        <v>10</v>
      </c>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t="s">
        <v>568</v>
      </c>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v>4</v>
      </c>
      <c r="E198" s="1129"/>
      <c r="F198" s="562" t="s">
        <v>5</v>
      </c>
      <c r="G198" s="1128">
        <v>4</v>
      </c>
      <c r="H198" s="1129"/>
      <c r="I198" s="562" t="s">
        <v>4</v>
      </c>
      <c r="J198" s="1128">
        <v>1</v>
      </c>
      <c r="K198" s="1129"/>
      <c r="L198" s="562" t="s">
        <v>3</v>
      </c>
      <c r="M198" s="563"/>
      <c r="N198" s="1130" t="s">
        <v>6</v>
      </c>
      <c r="O198" s="1130"/>
      <c r="P198" s="1130"/>
      <c r="Q198" s="1131" t="str">
        <f>IF(G9="","",G9)</f>
        <v>○○ケアサービス</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t="s">
        <v>569</v>
      </c>
      <c r="T199" s="1123"/>
      <c r="U199" s="1123"/>
      <c r="V199" s="1123"/>
      <c r="W199" s="1123"/>
      <c r="X199" s="1124" t="s">
        <v>113</v>
      </c>
      <c r="Y199" s="1124"/>
      <c r="Z199" s="1123" t="s">
        <v>570</v>
      </c>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M10" zoomScale="77" zoomScaleNormal="85" zoomScaleSheetLayoutView="130" zoomScalePageLayoutView="70" workbookViewId="0">
      <selection activeCell="W19" sqref="W19"/>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○○ケアサービス</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f>IF(SUM(AH12:AH111)=0,"",SUM(AH12:AH111))</f>
        <v>54665280</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f>IF(基本情報入力シート!C33="","",基本情報入力シート!C33)</f>
        <v>1</v>
      </c>
      <c r="C12" s="601">
        <f>IF(基本情報入力シート!D33="","",基本情報入力シート!D33)</f>
        <v>3</v>
      </c>
      <c r="D12" s="602">
        <f>IF(基本情報入力シート!E33="","",基本情報入力シート!E33)</f>
        <v>3</v>
      </c>
      <c r="E12" s="602">
        <f>IF(基本情報入力シート!F33="","",基本情報入力シート!F33)</f>
        <v>4</v>
      </c>
      <c r="F12" s="602">
        <f>IF(基本情報入力シート!G33="","",基本情報入力シート!G33)</f>
        <v>5</v>
      </c>
      <c r="G12" s="602">
        <f>IF(基本情報入力シート!H33="","",基本情報入力シート!H33)</f>
        <v>6</v>
      </c>
      <c r="H12" s="602">
        <f>IF(基本情報入力シート!I33="","",基本情報入力シート!I33)</f>
        <v>7</v>
      </c>
      <c r="I12" s="602">
        <f>IF(基本情報入力シート!J33="","",基本情報入力シート!J33)</f>
        <v>8</v>
      </c>
      <c r="J12" s="602">
        <f>IF(基本情報入力シート!K33="","",基本情報入力シート!K33)</f>
        <v>9</v>
      </c>
      <c r="K12" s="603">
        <f>IF(基本情報入力シート!L33="","",基本情報入力シート!L33)</f>
        <v>1</v>
      </c>
      <c r="L12" s="604" t="str">
        <f>IF(基本情報入力シート!M33="","",基本情報入力シート!M33)</f>
        <v>東京都</v>
      </c>
      <c r="M12" s="604" t="str">
        <f>IF(基本情報入力シート!R33="","",基本情報入力シート!R33)</f>
        <v>東京都</v>
      </c>
      <c r="N12" s="604" t="str">
        <f>IF(基本情報入力シート!W33="","",基本情報入力シート!W33)</f>
        <v>千代田区</v>
      </c>
      <c r="O12" s="599" t="str">
        <f>IF(基本情報入力シート!X33="","",基本情報入力シート!X33)</f>
        <v>介護保険事業所名称０１</v>
      </c>
      <c r="P12" s="605" t="str">
        <f>IF(基本情報入力シート!Y33="","",基本情報入力シート!Y33)</f>
        <v>訪問介護</v>
      </c>
      <c r="Q12" s="606">
        <f>IF(基本情報入力シート!Z33="","",基本情報入力シート!Z33)</f>
        <v>250000</v>
      </c>
      <c r="R12" s="607">
        <f>IF(基本情報入力シート!AA33="","",基本情報入力シート!AA33)</f>
        <v>11.4</v>
      </c>
      <c r="S12" s="608" t="s">
        <v>556</v>
      </c>
      <c r="T12" s="609" t="s">
        <v>559</v>
      </c>
      <c r="U12" s="610">
        <f>IF(P12="","",VLOOKUP(P12,【参考】数式用!$A$5:$I$38,MATCH(T12,【参考】数式用!$C$4:$G$4,0)+2,0))</f>
        <v>0.1</v>
      </c>
      <c r="V12" s="244" t="s">
        <v>34</v>
      </c>
      <c r="W12" s="611">
        <v>4</v>
      </c>
      <c r="X12" s="241" t="s">
        <v>12</v>
      </c>
      <c r="Y12" s="611">
        <v>4</v>
      </c>
      <c r="Z12" s="393" t="s">
        <v>102</v>
      </c>
      <c r="AA12" s="612">
        <v>5</v>
      </c>
      <c r="AB12" s="241" t="s">
        <v>12</v>
      </c>
      <c r="AC12" s="612">
        <v>3</v>
      </c>
      <c r="AD12" s="241" t="s">
        <v>17</v>
      </c>
      <c r="AE12" s="613" t="s">
        <v>49</v>
      </c>
      <c r="AF12" s="614">
        <f>IF(W12&gt;=1,(AA12*12+AC12)-(W12*12+Y12)+1,"")</f>
        <v>12</v>
      </c>
      <c r="AG12" s="615" t="s">
        <v>69</v>
      </c>
      <c r="AH12" s="616">
        <f>IFERROR(ROUNDDOWN(ROUND(Q12*R12,0)*U12,0)*AF12,"")</f>
        <v>3420000</v>
      </c>
    </row>
    <row r="13" spans="1:34" ht="36.75" customHeight="1">
      <c r="A13" s="599">
        <f>A12+1</f>
        <v>2</v>
      </c>
      <c r="B13" s="600">
        <f>IF(基本情報入力シート!C34="","",基本情報入力シート!C34)</f>
        <v>1</v>
      </c>
      <c r="C13" s="601">
        <f>IF(基本情報入力シート!D34="","",基本情報入力シート!D34)</f>
        <v>3</v>
      </c>
      <c r="D13" s="602">
        <f>IF(基本情報入力シート!E34="","",基本情報入力シート!E34)</f>
        <v>3</v>
      </c>
      <c r="E13" s="602">
        <f>IF(基本情報入力シート!F34="","",基本情報入力シート!F34)</f>
        <v>4</v>
      </c>
      <c r="F13" s="602">
        <f>IF(基本情報入力シート!G34="","",基本情報入力シート!G34)</f>
        <v>5</v>
      </c>
      <c r="G13" s="602">
        <f>IF(基本情報入力シート!H34="","",基本情報入力シート!H34)</f>
        <v>6</v>
      </c>
      <c r="H13" s="602">
        <f>IF(基本情報入力シート!I34="","",基本情報入力シート!I34)</f>
        <v>7</v>
      </c>
      <c r="I13" s="602">
        <f>IF(基本情報入力シート!J34="","",基本情報入力シート!J34)</f>
        <v>8</v>
      </c>
      <c r="J13" s="602">
        <f>IF(基本情報入力シート!K34="","",基本情報入力シート!K34)</f>
        <v>9</v>
      </c>
      <c r="K13" s="603">
        <f>IF(基本情報入力シート!L34="","",基本情報入力シート!L34)</f>
        <v>2</v>
      </c>
      <c r="L13" s="604" t="str">
        <f>IF(基本情報入力シート!M34="","",基本情報入力シート!M34)</f>
        <v>東京都</v>
      </c>
      <c r="M13" s="604" t="str">
        <f>IF(基本情報入力シート!R34="","",基本情報入力シート!R34)</f>
        <v>東京都</v>
      </c>
      <c r="N13" s="604" t="str">
        <f>IF(基本情報入力シート!W34="","",基本情報入力シート!W34)</f>
        <v>豊島区</v>
      </c>
      <c r="O13" s="599" t="str">
        <f>IF(基本情報入力シート!X34="","",基本情報入力シート!X34)</f>
        <v>介護保険事業所名称０２</v>
      </c>
      <c r="P13" s="605" t="str">
        <f>IF(基本情報入力シート!Y34="","",基本情報入力シート!Y34)</f>
        <v>通所介護</v>
      </c>
      <c r="Q13" s="606">
        <f>IF(基本情報入力シート!Z34="","",基本情報入力シート!Z34)</f>
        <v>400000</v>
      </c>
      <c r="R13" s="607">
        <f>IF(基本情報入力シート!AA34="","",基本情報入力シート!AA34)</f>
        <v>10.9</v>
      </c>
      <c r="S13" s="608" t="s">
        <v>557</v>
      </c>
      <c r="T13" s="609" t="s">
        <v>560</v>
      </c>
      <c r="U13" s="610">
        <f>IF(P13="","",VLOOKUP(P13,【参考】数式用!$A$5:$I$38,MATCH(T13,【参考】数式用!$C$4:$G$4,0)+2,0))</f>
        <v>5.8999999999999997E-2</v>
      </c>
      <c r="V13" s="244" t="s">
        <v>34</v>
      </c>
      <c r="W13" s="611">
        <v>4</v>
      </c>
      <c r="X13" s="241" t="s">
        <v>12</v>
      </c>
      <c r="Y13" s="611">
        <v>4</v>
      </c>
      <c r="Z13" s="393" t="s">
        <v>102</v>
      </c>
      <c r="AA13" s="612">
        <v>5</v>
      </c>
      <c r="AB13" s="241" t="s">
        <v>12</v>
      </c>
      <c r="AC13" s="612">
        <v>3</v>
      </c>
      <c r="AD13" s="241" t="s">
        <v>17</v>
      </c>
      <c r="AE13" s="613" t="s">
        <v>49</v>
      </c>
      <c r="AF13" s="614">
        <f t="shared" ref="AF13:AF16" si="0">IF(W13&gt;=1,(AA13*12+AC13)-(W13*12+Y13)+1,"")</f>
        <v>12</v>
      </c>
      <c r="AG13" s="615" t="s">
        <v>69</v>
      </c>
      <c r="AH13" s="616">
        <f t="shared" ref="AH13:AH76" si="1">IFERROR(ROUNDDOWN(ROUND(Q13*R13,0)*U13,0)*AF13,"")</f>
        <v>3086880</v>
      </c>
    </row>
    <row r="14" spans="1:34" ht="36.75" customHeight="1">
      <c r="A14" s="599">
        <f t="shared" ref="A14:A26" si="2">A13+1</f>
        <v>3</v>
      </c>
      <c r="B14" s="600">
        <f>IF(基本情報入力シート!C35="","",基本情報入力シート!C35)</f>
        <v>1</v>
      </c>
      <c r="C14" s="601">
        <f>IF(基本情報入力シート!D35="","",基本情報入力シート!D35)</f>
        <v>3</v>
      </c>
      <c r="D14" s="602">
        <f>IF(基本情報入力シート!E35="","",基本情報入力シート!E35)</f>
        <v>3</v>
      </c>
      <c r="E14" s="602">
        <f>IF(基本情報入力シート!F35="","",基本情報入力シート!F35)</f>
        <v>4</v>
      </c>
      <c r="F14" s="602">
        <f>IF(基本情報入力シート!G35="","",基本情報入力シート!G35)</f>
        <v>5</v>
      </c>
      <c r="G14" s="602">
        <f>IF(基本情報入力シート!H35="","",基本情報入力シート!H35)</f>
        <v>6</v>
      </c>
      <c r="H14" s="602">
        <f>IF(基本情報入力シート!I35="","",基本情報入力シート!I35)</f>
        <v>7</v>
      </c>
      <c r="I14" s="602">
        <f>IF(基本情報入力シート!J35="","",基本情報入力シート!J35)</f>
        <v>8</v>
      </c>
      <c r="J14" s="602">
        <f>IF(基本情報入力シート!K35="","",基本情報入力シート!K35)</f>
        <v>9</v>
      </c>
      <c r="K14" s="603">
        <f>IF(基本情報入力シート!L35="","",基本情報入力シート!L35)</f>
        <v>3</v>
      </c>
      <c r="L14" s="604" t="str">
        <f>IF(基本情報入力シート!M35="","",基本情報入力シート!M35)</f>
        <v>世田谷区</v>
      </c>
      <c r="M14" s="604" t="str">
        <f>IF(基本情報入力シート!R35="","",基本情報入力シート!R35)</f>
        <v>東京都</v>
      </c>
      <c r="N14" s="604" t="str">
        <f>IF(基本情報入力シート!W35="","",基本情報入力シート!W35)</f>
        <v>世田谷区</v>
      </c>
      <c r="O14" s="599" t="str">
        <f>IF(基本情報入力シート!X35="","",基本情報入力シート!X35)</f>
        <v>介護保険事業所名称０３</v>
      </c>
      <c r="P14" s="605" t="str">
        <f>IF(基本情報入力シート!Y35="","",基本情報入力シート!Y35)</f>
        <v>定期巡回･随時対応型訪問介護看護</v>
      </c>
      <c r="Q14" s="606">
        <f>IF(基本情報入力シート!Z35="","",基本情報入力シート!Z35)</f>
        <v>400000</v>
      </c>
      <c r="R14" s="607">
        <f>IF(基本情報入力シート!AA35="","",基本情報入力シート!AA35)</f>
        <v>11.4</v>
      </c>
      <c r="S14" s="608" t="s">
        <v>558</v>
      </c>
      <c r="T14" s="609" t="s">
        <v>560</v>
      </c>
      <c r="U14" s="610">
        <f>IF(P14="","",VLOOKUP(P14,【参考】数式用!$A$5:$I$38,MATCH(T14,【参考】数式用!$C$4:$G$4,0)+2,0))</f>
        <v>0.13700000000000001</v>
      </c>
      <c r="V14" s="244" t="s">
        <v>34</v>
      </c>
      <c r="W14" s="611">
        <v>4</v>
      </c>
      <c r="X14" s="241" t="s">
        <v>12</v>
      </c>
      <c r="Y14" s="611">
        <v>4</v>
      </c>
      <c r="Z14" s="393" t="s">
        <v>102</v>
      </c>
      <c r="AA14" s="612">
        <v>5</v>
      </c>
      <c r="AB14" s="241" t="s">
        <v>12</v>
      </c>
      <c r="AC14" s="612">
        <v>3</v>
      </c>
      <c r="AD14" s="241" t="s">
        <v>17</v>
      </c>
      <c r="AE14" s="613" t="s">
        <v>49</v>
      </c>
      <c r="AF14" s="614">
        <f t="shared" si="0"/>
        <v>12</v>
      </c>
      <c r="AG14" s="615" t="s">
        <v>69</v>
      </c>
      <c r="AH14" s="616">
        <f t="shared" si="1"/>
        <v>7496640</v>
      </c>
    </row>
    <row r="15" spans="1:34" ht="36.75" customHeight="1">
      <c r="A15" s="599">
        <f t="shared" si="2"/>
        <v>4</v>
      </c>
      <c r="B15" s="600">
        <f>IF(基本情報入力シート!C36="","",基本情報入力シート!C36)</f>
        <v>1</v>
      </c>
      <c r="C15" s="601">
        <f>IF(基本情報入力シート!D36="","",基本情報入力シート!D36)</f>
        <v>1</v>
      </c>
      <c r="D15" s="602">
        <f>IF(基本情報入力シート!E36="","",基本情報入力シート!E36)</f>
        <v>3</v>
      </c>
      <c r="E15" s="602">
        <f>IF(基本情報入力シート!F36="","",基本情報入力シート!F36)</f>
        <v>4</v>
      </c>
      <c r="F15" s="602">
        <f>IF(基本情報入力シート!G36="","",基本情報入力シート!G36)</f>
        <v>5</v>
      </c>
      <c r="G15" s="602">
        <f>IF(基本情報入力シート!H36="","",基本情報入力シート!H36)</f>
        <v>6</v>
      </c>
      <c r="H15" s="602">
        <f>IF(基本情報入力シート!I36="","",基本情報入力シート!I36)</f>
        <v>7</v>
      </c>
      <c r="I15" s="602">
        <f>IF(基本情報入力シート!J36="","",基本情報入力シート!J36)</f>
        <v>8</v>
      </c>
      <c r="J15" s="602">
        <f>IF(基本情報入力シート!K36="","",基本情報入力シート!K36)</f>
        <v>9</v>
      </c>
      <c r="K15" s="603">
        <f>IF(基本情報入力シート!L36="","",基本情報入力シート!L36)</f>
        <v>4</v>
      </c>
      <c r="L15" s="604" t="str">
        <f>IF(基本情報入力シート!M36="","",基本情報入力シート!M36)</f>
        <v>埼玉県</v>
      </c>
      <c r="M15" s="604" t="str">
        <f>IF(基本情報入力シート!R36="","",基本情報入力シート!R36)</f>
        <v>埼玉県</v>
      </c>
      <c r="N15" s="604" t="str">
        <f>IF(基本情報入力シート!W36="","",基本情報入力シート!W36)</f>
        <v>さいたま市</v>
      </c>
      <c r="O15" s="599" t="str">
        <f>IF(基本情報入力シート!X36="","",基本情報入力シート!X36)</f>
        <v>介護保険事業所名称０４</v>
      </c>
      <c r="P15" s="605" t="str">
        <f>IF(基本情報入力シート!Y36="","",基本情報入力シート!Y36)</f>
        <v>介護老人福祉施設</v>
      </c>
      <c r="Q15" s="606">
        <f>IF(基本情報入力シート!Z36="","",基本情報入力シート!Z36)</f>
        <v>2000000</v>
      </c>
      <c r="R15" s="607">
        <f>IF(基本情報入力シート!AA36="","",基本情報入力シート!AA36)</f>
        <v>10.68</v>
      </c>
      <c r="S15" s="608" t="s">
        <v>557</v>
      </c>
      <c r="T15" s="609" t="s">
        <v>560</v>
      </c>
      <c r="U15" s="610">
        <f>IF(P15="","",VLOOKUP(P15,【参考】数式用!$A$5:$I$38,MATCH(T15,【参考】数式用!$C$4:$G$4,0)+2,0))</f>
        <v>8.3000000000000004E-2</v>
      </c>
      <c r="V15" s="244" t="s">
        <v>34</v>
      </c>
      <c r="W15" s="611">
        <v>4</v>
      </c>
      <c r="X15" s="241" t="s">
        <v>12</v>
      </c>
      <c r="Y15" s="611">
        <v>4</v>
      </c>
      <c r="Z15" s="393" t="s">
        <v>102</v>
      </c>
      <c r="AA15" s="612">
        <v>5</v>
      </c>
      <c r="AB15" s="241" t="s">
        <v>12</v>
      </c>
      <c r="AC15" s="612">
        <v>3</v>
      </c>
      <c r="AD15" s="241" t="s">
        <v>17</v>
      </c>
      <c r="AE15" s="613" t="s">
        <v>49</v>
      </c>
      <c r="AF15" s="614">
        <f t="shared" si="0"/>
        <v>12</v>
      </c>
      <c r="AG15" s="615" t="s">
        <v>69</v>
      </c>
      <c r="AH15" s="616">
        <f t="shared" si="1"/>
        <v>21274560</v>
      </c>
    </row>
    <row r="16" spans="1:34" ht="36.75" customHeight="1">
      <c r="A16" s="599">
        <f t="shared" si="2"/>
        <v>5</v>
      </c>
      <c r="B16" s="600">
        <f>IF(基本情報入力シート!C37="","",基本情報入力シート!C37)</f>
        <v>1</v>
      </c>
      <c r="C16" s="601">
        <f>IF(基本情報入力シート!D37="","",基本情報入力シート!D37)</f>
        <v>4</v>
      </c>
      <c r="D16" s="602">
        <f>IF(基本情報入力シート!E37="","",基本情報入力シート!E37)</f>
        <v>3</v>
      </c>
      <c r="E16" s="602">
        <f>IF(基本情報入力シート!F37="","",基本情報入力シート!F37)</f>
        <v>4</v>
      </c>
      <c r="F16" s="602">
        <f>IF(基本情報入力シート!G37="","",基本情報入力シート!G37)</f>
        <v>5</v>
      </c>
      <c r="G16" s="602">
        <f>IF(基本情報入力シート!H37="","",基本情報入力シート!H37)</f>
        <v>6</v>
      </c>
      <c r="H16" s="602">
        <f>IF(基本情報入力シート!I37="","",基本情報入力シート!I37)</f>
        <v>7</v>
      </c>
      <c r="I16" s="602">
        <f>IF(基本情報入力シート!J37="","",基本情報入力シート!J37)</f>
        <v>8</v>
      </c>
      <c r="J16" s="602">
        <f>IF(基本情報入力シート!K37="","",基本情報入力シート!K37)</f>
        <v>9</v>
      </c>
      <c r="K16" s="603">
        <f>IF(基本情報入力シート!L37="","",基本情報入力シート!L37)</f>
        <v>5</v>
      </c>
      <c r="L16" s="604" t="str">
        <f>IF(基本情報入力シート!M37="","",基本情報入力シート!M37)</f>
        <v>横浜市</v>
      </c>
      <c r="M16" s="604" t="str">
        <f>IF(基本情報入力シート!R37="","",基本情報入力シート!R37)</f>
        <v>神奈川県</v>
      </c>
      <c r="N16" s="604" t="str">
        <f>IF(基本情報入力シート!W37="","",基本情報入力シート!W37)</f>
        <v>横浜市</v>
      </c>
      <c r="O16" s="599" t="str">
        <f>IF(基本情報入力シート!X37="","",基本情報入力シート!X37)</f>
        <v>介護保険事業所名称０５</v>
      </c>
      <c r="P16" s="605" t="str">
        <f>IF(基本情報入力シート!Y37="","",基本情報入力シート!Y37)</f>
        <v>小規模多機能型居宅介護</v>
      </c>
      <c r="Q16" s="606">
        <f>IF(基本情報入力シート!Z37="","",基本情報入力シート!Z37)</f>
        <v>400000</v>
      </c>
      <c r="R16" s="607">
        <f>IF(基本情報入力シート!AA37="","",基本情報入力シート!AA37)</f>
        <v>10.88</v>
      </c>
      <c r="S16" s="608" t="s">
        <v>557</v>
      </c>
      <c r="T16" s="609" t="s">
        <v>559</v>
      </c>
      <c r="U16" s="610">
        <f>IF(P16="","",VLOOKUP(P16,【参考】数式用!$A$5:$I$38,MATCH(T16,【参考】数式用!$C$4:$G$4,0)+2,0))</f>
        <v>7.3999999999999996E-2</v>
      </c>
      <c r="V16" s="244" t="s">
        <v>34</v>
      </c>
      <c r="W16" s="611">
        <v>4</v>
      </c>
      <c r="X16" s="241" t="s">
        <v>12</v>
      </c>
      <c r="Y16" s="611">
        <v>4</v>
      </c>
      <c r="Z16" s="393" t="s">
        <v>102</v>
      </c>
      <c r="AA16" s="612">
        <v>5</v>
      </c>
      <c r="AB16" s="241" t="s">
        <v>12</v>
      </c>
      <c r="AC16" s="612">
        <v>3</v>
      </c>
      <c r="AD16" s="241" t="s">
        <v>17</v>
      </c>
      <c r="AE16" s="613" t="s">
        <v>49</v>
      </c>
      <c r="AF16" s="614">
        <f t="shared" si="0"/>
        <v>12</v>
      </c>
      <c r="AG16" s="615" t="s">
        <v>69</v>
      </c>
      <c r="AH16" s="616">
        <f t="shared" si="1"/>
        <v>3864576</v>
      </c>
    </row>
    <row r="17" spans="1:34" ht="36.75" customHeight="1">
      <c r="A17" s="599">
        <f t="shared" si="2"/>
        <v>6</v>
      </c>
      <c r="B17" s="600">
        <f>IF(基本情報入力シート!C38="","",基本情報入力シート!C38)</f>
        <v>1</v>
      </c>
      <c r="C17" s="601">
        <f>IF(基本情報入力シート!D38="","",基本情報入力シート!D38)</f>
        <v>2</v>
      </c>
      <c r="D17" s="602">
        <f>IF(基本情報入力シート!E38="","",基本情報入力シート!E38)</f>
        <v>3</v>
      </c>
      <c r="E17" s="602">
        <f>IF(基本情報入力シート!F38="","",基本情報入力シート!F38)</f>
        <v>4</v>
      </c>
      <c r="F17" s="602">
        <f>IF(基本情報入力シート!G38="","",基本情報入力シート!G38)</f>
        <v>5</v>
      </c>
      <c r="G17" s="602">
        <f>IF(基本情報入力シート!H38="","",基本情報入力シート!H38)</f>
        <v>6</v>
      </c>
      <c r="H17" s="602">
        <f>IF(基本情報入力シート!I38="","",基本情報入力シート!I38)</f>
        <v>7</v>
      </c>
      <c r="I17" s="602">
        <f>IF(基本情報入力シート!J38="","",基本情報入力シート!J38)</f>
        <v>8</v>
      </c>
      <c r="J17" s="602">
        <f>IF(基本情報入力シート!K38="","",基本情報入力シート!K38)</f>
        <v>9</v>
      </c>
      <c r="K17" s="603">
        <f>IF(基本情報入力シート!L38="","",基本情報入力シート!L38)</f>
        <v>6</v>
      </c>
      <c r="L17" s="604" t="str">
        <f>IF(基本情報入力シート!M38="","",基本情報入力シート!M38)</f>
        <v>千葉県</v>
      </c>
      <c r="M17" s="604" t="str">
        <f>IF(基本情報入力シート!R38="","",基本情報入力シート!R38)</f>
        <v>千葉県</v>
      </c>
      <c r="N17" s="604" t="str">
        <f>IF(基本情報入力シート!W38="","",基本情報入力シート!W38)</f>
        <v>千葉市</v>
      </c>
      <c r="O17" s="599" t="str">
        <f>IF(基本情報入力シート!X38="","",基本情報入力シート!X38)</f>
        <v>介護保険事業所名称０６</v>
      </c>
      <c r="P17" s="605" t="str">
        <f>IF(基本情報入力シート!Y38="","",基本情報入力シート!Y38)</f>
        <v>介護老人保健施設</v>
      </c>
      <c r="Q17" s="606">
        <f>IF(基本情報入力シート!Z38="","",基本情報入力シート!Z38)</f>
        <v>2800000</v>
      </c>
      <c r="R17" s="607">
        <f>IF(基本情報入力シート!AA38="","",基本情報入力シート!AA38)</f>
        <v>10.68</v>
      </c>
      <c r="S17" s="608" t="s">
        <v>558</v>
      </c>
      <c r="T17" s="609" t="s">
        <v>560</v>
      </c>
      <c r="U17" s="610">
        <f>IF(P17="","",VLOOKUP(P17,【参考】数式用!$A$5:$I$38,MATCH(T17,【参考】数式用!$C$4:$G$4,0)+2,0))</f>
        <v>3.9E-2</v>
      </c>
      <c r="V17" s="244" t="s">
        <v>201</v>
      </c>
      <c r="W17" s="611">
        <v>4</v>
      </c>
      <c r="X17" s="241" t="s">
        <v>202</v>
      </c>
      <c r="Y17" s="611">
        <v>4</v>
      </c>
      <c r="Z17" s="393" t="s">
        <v>203</v>
      </c>
      <c r="AA17" s="612">
        <v>5</v>
      </c>
      <c r="AB17" s="241" t="s">
        <v>202</v>
      </c>
      <c r="AC17" s="612">
        <v>3</v>
      </c>
      <c r="AD17" s="241" t="s">
        <v>204</v>
      </c>
      <c r="AE17" s="613" t="s">
        <v>205</v>
      </c>
      <c r="AF17" s="614">
        <f t="shared" ref="AF17:AF80" si="3">IF(W17&gt;=1,(AA17*12+AC17)-(W17*12+Y17)+1,"")</f>
        <v>12</v>
      </c>
      <c r="AG17" s="615" t="s">
        <v>206</v>
      </c>
      <c r="AH17" s="616">
        <f t="shared" si="1"/>
        <v>13995072</v>
      </c>
    </row>
    <row r="18" spans="1:34" ht="36.75" customHeight="1">
      <c r="A18" s="599">
        <f t="shared" si="2"/>
        <v>7</v>
      </c>
      <c r="B18" s="600">
        <f>IF(基本情報入力シート!C39="","",基本情報入力シート!C39)</f>
        <v>1</v>
      </c>
      <c r="C18" s="601">
        <f>IF(基本情報入力シート!D39="","",基本情報入力シート!D39)</f>
        <v>2</v>
      </c>
      <c r="D18" s="602">
        <f>IF(基本情報入力シート!E39="","",基本情報入力シート!E39)</f>
        <v>3</v>
      </c>
      <c r="E18" s="602">
        <f>IF(基本情報入力シート!F39="","",基本情報入力シート!F39)</f>
        <v>4</v>
      </c>
      <c r="F18" s="602">
        <f>IF(基本情報入力シート!G39="","",基本情報入力シート!G39)</f>
        <v>5</v>
      </c>
      <c r="G18" s="602">
        <f>IF(基本情報入力シート!H39="","",基本情報入力シート!H39)</f>
        <v>6</v>
      </c>
      <c r="H18" s="602">
        <f>IF(基本情報入力シート!I39="","",基本情報入力シート!I39)</f>
        <v>7</v>
      </c>
      <c r="I18" s="602">
        <f>IF(基本情報入力シート!J39="","",基本情報入力シート!J39)</f>
        <v>8</v>
      </c>
      <c r="J18" s="602">
        <f>IF(基本情報入力シート!K39="","",基本情報入力シート!K39)</f>
        <v>9</v>
      </c>
      <c r="K18" s="603">
        <f>IF(基本情報入力シート!L39="","",基本情報入力シート!L39)</f>
        <v>6</v>
      </c>
      <c r="L18" s="604" t="str">
        <f>IF(基本情報入力シート!M39="","",基本情報入力シート!M39)</f>
        <v>千葉県</v>
      </c>
      <c r="M18" s="604" t="str">
        <f>IF(基本情報入力シート!R39="","",基本情報入力シート!R39)</f>
        <v>千葉県</v>
      </c>
      <c r="N18" s="604" t="str">
        <f>IF(基本情報入力シート!W39="","",基本情報入力シート!W39)</f>
        <v>千葉市</v>
      </c>
      <c r="O18" s="599" t="str">
        <f>IF(基本情報入力シート!X39="","",基本情報入力シート!X39)</f>
        <v>介護保険事業所名称０７</v>
      </c>
      <c r="P18" s="605" t="str">
        <f>IF(基本情報入力シート!Y39="","",基本情報入力シート!Y39)</f>
        <v>短期入所療養介護（老健）</v>
      </c>
      <c r="Q18" s="606">
        <f>IF(基本情報入力シート!Z39="","",基本情報入力シート!Z39)</f>
        <v>300000</v>
      </c>
      <c r="R18" s="607">
        <f>IF(基本情報入力シート!AA39="","",基本情報入力シート!AA39)</f>
        <v>10.88</v>
      </c>
      <c r="S18" s="608" t="s">
        <v>558</v>
      </c>
      <c r="T18" s="609" t="s">
        <v>560</v>
      </c>
      <c r="U18" s="610">
        <f>IF(P18="","",VLOOKUP(P18,【参考】数式用!$A$5:$I$38,MATCH(T18,【参考】数式用!$C$4:$G$4,0)+2,0))</f>
        <v>3.9E-2</v>
      </c>
      <c r="V18" s="244" t="s">
        <v>201</v>
      </c>
      <c r="W18" s="611">
        <v>4</v>
      </c>
      <c r="X18" s="241" t="s">
        <v>202</v>
      </c>
      <c r="Y18" s="611">
        <v>4</v>
      </c>
      <c r="Z18" s="393" t="s">
        <v>203</v>
      </c>
      <c r="AA18" s="612">
        <v>5</v>
      </c>
      <c r="AB18" s="241" t="s">
        <v>202</v>
      </c>
      <c r="AC18" s="612">
        <v>3</v>
      </c>
      <c r="AD18" s="241" t="s">
        <v>204</v>
      </c>
      <c r="AE18" s="613" t="s">
        <v>205</v>
      </c>
      <c r="AF18" s="614">
        <f t="shared" si="3"/>
        <v>12</v>
      </c>
      <c r="AG18" s="615" t="s">
        <v>206</v>
      </c>
      <c r="AH18" s="616">
        <f t="shared" si="1"/>
        <v>1527552</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P10" zoomScale="80" zoomScaleNormal="80" zoomScaleSheetLayoutView="70" workbookViewId="0">
      <selection activeCell="Z17" sqref="Z17"/>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○○ケアサービス</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f>IF((SUM(AI12:AI111))=0,"",SUM(AI12:AI111))</f>
        <v>19173336</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f>IF(基本情報入力シート!C33="","",基本情報入力シート!C33)</f>
        <v>1</v>
      </c>
      <c r="C12" s="601">
        <f>IF(基本情報入力シート!D33="","",基本情報入力シート!D33)</f>
        <v>3</v>
      </c>
      <c r="D12" s="602">
        <f>IF(基本情報入力シート!E33="","",基本情報入力シート!E33)</f>
        <v>3</v>
      </c>
      <c r="E12" s="602">
        <f>IF(基本情報入力シート!F33="","",基本情報入力シート!F33)</f>
        <v>4</v>
      </c>
      <c r="F12" s="602">
        <f>IF(基本情報入力シート!G33="","",基本情報入力シート!G33)</f>
        <v>5</v>
      </c>
      <c r="G12" s="602">
        <f>IF(基本情報入力シート!H33="","",基本情報入力シート!H33)</f>
        <v>6</v>
      </c>
      <c r="H12" s="602">
        <f>IF(基本情報入力シート!I33="","",基本情報入力シート!I33)</f>
        <v>7</v>
      </c>
      <c r="I12" s="602">
        <f>IF(基本情報入力シート!J33="","",基本情報入力シート!J33)</f>
        <v>8</v>
      </c>
      <c r="J12" s="602">
        <f>IF(基本情報入力シート!K33="","",基本情報入力シート!K33)</f>
        <v>9</v>
      </c>
      <c r="K12" s="603">
        <f>IF(基本情報入力シート!L33="","",基本情報入力シート!L33)</f>
        <v>1</v>
      </c>
      <c r="L12" s="604" t="str">
        <f>IF(基本情報入力シート!M33="","",基本情報入力シート!M33)</f>
        <v>東京都</v>
      </c>
      <c r="M12" s="604" t="str">
        <f>IF(基本情報入力シート!R33="","",基本情報入力シート!R33)</f>
        <v>東京都</v>
      </c>
      <c r="N12" s="604" t="str">
        <f>IF(基本情報入力シート!W33="","",基本情報入力シート!W33)</f>
        <v>千代田区</v>
      </c>
      <c r="O12" s="599" t="str">
        <f>IF(基本情報入力シート!X33="","",基本情報入力シート!X33)</f>
        <v>介護保険事業所名称０１</v>
      </c>
      <c r="P12" s="605" t="str">
        <f>IF(基本情報入力シート!Y33="","",基本情報入力シート!Y33)</f>
        <v>訪問介護</v>
      </c>
      <c r="Q12" s="606">
        <f>IF(基本情報入力シート!Z33="","",基本情報入力シート!Z33)</f>
        <v>250000</v>
      </c>
      <c r="R12" s="633">
        <f>IF(基本情報入力シート!AA33="","",基本情報入力シート!AA33)</f>
        <v>11.4</v>
      </c>
      <c r="S12" s="634" t="s">
        <v>556</v>
      </c>
      <c r="T12" s="635" t="s">
        <v>561</v>
      </c>
      <c r="U12" s="636">
        <f>IF(P12="","",VLOOKUP(P12,【参考】数式用!$A$5:$I$38,MATCH(T12,【参考】数式用!$H$4:$I$4,0)+7,0))</f>
        <v>6.3E-2</v>
      </c>
      <c r="V12" s="846" t="s">
        <v>364</v>
      </c>
      <c r="W12" s="244" t="s">
        <v>34</v>
      </c>
      <c r="X12" s="637">
        <v>4</v>
      </c>
      <c r="Y12" s="241" t="s">
        <v>12</v>
      </c>
      <c r="Z12" s="637">
        <v>4</v>
      </c>
      <c r="AA12" s="393" t="s">
        <v>102</v>
      </c>
      <c r="AB12" s="637">
        <v>5</v>
      </c>
      <c r="AC12" s="241" t="s">
        <v>12</v>
      </c>
      <c r="AD12" s="637">
        <v>3</v>
      </c>
      <c r="AE12" s="241" t="s">
        <v>17</v>
      </c>
      <c r="AF12" s="613" t="s">
        <v>49</v>
      </c>
      <c r="AG12" s="615">
        <f t="shared" ref="AG12:AG16" si="0">IF(X12&gt;=1,(AB12*12+AD12)-(X12*12+Z12)+1,"")</f>
        <v>12</v>
      </c>
      <c r="AH12" s="615" t="s">
        <v>69</v>
      </c>
      <c r="AI12" s="616">
        <f t="shared" ref="AI12:AI43" si="1">IFERROR(ROUNDDOWN(ROUND(Q12*R12,0)*U12,0)*AG12,"")</f>
        <v>2154600</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f>IF(基本情報入力シート!C34="","",基本情報入力シート!C34)</f>
        <v>1</v>
      </c>
      <c r="C13" s="601">
        <f>IF(基本情報入力シート!D34="","",基本情報入力シート!D34)</f>
        <v>3</v>
      </c>
      <c r="D13" s="602">
        <f>IF(基本情報入力シート!E34="","",基本情報入力シート!E34)</f>
        <v>3</v>
      </c>
      <c r="E13" s="602">
        <f>IF(基本情報入力シート!F34="","",基本情報入力シート!F34)</f>
        <v>4</v>
      </c>
      <c r="F13" s="602">
        <f>IF(基本情報入力シート!G34="","",基本情報入力シート!G34)</f>
        <v>5</v>
      </c>
      <c r="G13" s="602">
        <f>IF(基本情報入力シート!H34="","",基本情報入力シート!H34)</f>
        <v>6</v>
      </c>
      <c r="H13" s="602">
        <f>IF(基本情報入力シート!I34="","",基本情報入力シート!I34)</f>
        <v>7</v>
      </c>
      <c r="I13" s="602">
        <f>IF(基本情報入力シート!J34="","",基本情報入力シート!J34)</f>
        <v>8</v>
      </c>
      <c r="J13" s="602">
        <f>IF(基本情報入力シート!K34="","",基本情報入力シート!K34)</f>
        <v>9</v>
      </c>
      <c r="K13" s="603">
        <f>IF(基本情報入力シート!L34="","",基本情報入力シート!L34)</f>
        <v>2</v>
      </c>
      <c r="L13" s="604" t="str">
        <f>IF(基本情報入力シート!M34="","",基本情報入力シート!M34)</f>
        <v>東京都</v>
      </c>
      <c r="M13" s="604" t="str">
        <f>IF(基本情報入力シート!R34="","",基本情報入力シート!R34)</f>
        <v>東京都</v>
      </c>
      <c r="N13" s="604" t="str">
        <f>IF(基本情報入力シート!W34="","",基本情報入力シート!W34)</f>
        <v>豊島区</v>
      </c>
      <c r="O13" s="599" t="str">
        <f>IF(基本情報入力シート!X34="","",基本情報入力シート!X34)</f>
        <v>介護保険事業所名称０２</v>
      </c>
      <c r="P13" s="605" t="str">
        <f>IF(基本情報入力シート!Y34="","",基本情報入力シート!Y34)</f>
        <v>通所介護</v>
      </c>
      <c r="Q13" s="606">
        <f>IF(基本情報入力シート!Z34="","",基本情報入力シート!Z34)</f>
        <v>400000</v>
      </c>
      <c r="R13" s="633">
        <f>IF(基本情報入力シート!AA34="","",基本情報入力シート!AA34)</f>
        <v>10.9</v>
      </c>
      <c r="S13" s="634" t="s">
        <v>557</v>
      </c>
      <c r="T13" s="635" t="s">
        <v>562</v>
      </c>
      <c r="U13" s="636">
        <f>IF(P13="","",VLOOKUP(P13,【参考】数式用!$A$5:$I$38,MATCH(T13,【参考】数式用!$H$4:$I$4,0)+7,0))</f>
        <v>0.01</v>
      </c>
      <c r="V13" s="846" t="s">
        <v>259</v>
      </c>
      <c r="W13" s="244" t="s">
        <v>34</v>
      </c>
      <c r="X13" s="637">
        <v>4</v>
      </c>
      <c r="Y13" s="241" t="s">
        <v>12</v>
      </c>
      <c r="Z13" s="637">
        <v>4</v>
      </c>
      <c r="AA13" s="393" t="s">
        <v>102</v>
      </c>
      <c r="AB13" s="637">
        <v>5</v>
      </c>
      <c r="AC13" s="241" t="s">
        <v>12</v>
      </c>
      <c r="AD13" s="637">
        <v>3</v>
      </c>
      <c r="AE13" s="241" t="s">
        <v>17</v>
      </c>
      <c r="AF13" s="613" t="s">
        <v>49</v>
      </c>
      <c r="AG13" s="614">
        <f t="shared" si="0"/>
        <v>12</v>
      </c>
      <c r="AH13" s="615" t="s">
        <v>69</v>
      </c>
      <c r="AI13" s="616">
        <f t="shared" si="1"/>
        <v>523200</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f>IF(基本情報入力シート!C35="","",基本情報入力シート!C35)</f>
        <v>1</v>
      </c>
      <c r="C14" s="601">
        <f>IF(基本情報入力シート!D35="","",基本情報入力シート!D35)</f>
        <v>3</v>
      </c>
      <c r="D14" s="602">
        <f>IF(基本情報入力シート!E35="","",基本情報入力シート!E35)</f>
        <v>3</v>
      </c>
      <c r="E14" s="602">
        <f>IF(基本情報入力シート!F35="","",基本情報入力シート!F35)</f>
        <v>4</v>
      </c>
      <c r="F14" s="602">
        <f>IF(基本情報入力シート!G35="","",基本情報入力シート!G35)</f>
        <v>5</v>
      </c>
      <c r="G14" s="602">
        <f>IF(基本情報入力シート!H35="","",基本情報入力シート!H35)</f>
        <v>6</v>
      </c>
      <c r="H14" s="602">
        <f>IF(基本情報入力シート!I35="","",基本情報入力シート!I35)</f>
        <v>7</v>
      </c>
      <c r="I14" s="602">
        <f>IF(基本情報入力シート!J35="","",基本情報入力シート!J35)</f>
        <v>8</v>
      </c>
      <c r="J14" s="602">
        <f>IF(基本情報入力シート!K35="","",基本情報入力シート!K35)</f>
        <v>9</v>
      </c>
      <c r="K14" s="603">
        <f>IF(基本情報入力シート!L35="","",基本情報入力シート!L35)</f>
        <v>3</v>
      </c>
      <c r="L14" s="604" t="str">
        <f>IF(基本情報入力シート!M35="","",基本情報入力シート!M35)</f>
        <v>世田谷区</v>
      </c>
      <c r="M14" s="604" t="str">
        <f>IF(基本情報入力シート!R35="","",基本情報入力シート!R35)</f>
        <v>東京都</v>
      </c>
      <c r="N14" s="604" t="str">
        <f>IF(基本情報入力シート!W35="","",基本情報入力シート!W35)</f>
        <v>世田谷区</v>
      </c>
      <c r="O14" s="599" t="str">
        <f>IF(基本情報入力シート!X35="","",基本情報入力シート!X35)</f>
        <v>介護保険事業所名称０３</v>
      </c>
      <c r="P14" s="605" t="str">
        <f>IF(基本情報入力シート!Y35="","",基本情報入力シート!Y35)</f>
        <v>定期巡回･随時対応型訪問介護看護</v>
      </c>
      <c r="Q14" s="606">
        <f>IF(基本情報入力シート!Z35="","",基本情報入力シート!Z35)</f>
        <v>400000</v>
      </c>
      <c r="R14" s="633">
        <f>IF(基本情報入力シート!AA35="","",基本情報入力シート!AA35)</f>
        <v>11.4</v>
      </c>
      <c r="S14" s="634" t="s">
        <v>558</v>
      </c>
      <c r="T14" s="635" t="s">
        <v>561</v>
      </c>
      <c r="U14" s="636">
        <f>IF(P14="","",VLOOKUP(P14,【参考】数式用!$A$5:$I$38,MATCH(T14,【参考】数式用!$H$4:$I$4,0)+7,0))</f>
        <v>6.3E-2</v>
      </c>
      <c r="V14" s="846" t="s">
        <v>362</v>
      </c>
      <c r="W14" s="244" t="s">
        <v>34</v>
      </c>
      <c r="X14" s="637">
        <v>4</v>
      </c>
      <c r="Y14" s="241" t="s">
        <v>12</v>
      </c>
      <c r="Z14" s="637">
        <v>4</v>
      </c>
      <c r="AA14" s="393" t="s">
        <v>102</v>
      </c>
      <c r="AB14" s="637">
        <v>5</v>
      </c>
      <c r="AC14" s="241" t="s">
        <v>12</v>
      </c>
      <c r="AD14" s="637">
        <v>3</v>
      </c>
      <c r="AE14" s="241" t="s">
        <v>17</v>
      </c>
      <c r="AF14" s="613" t="s">
        <v>49</v>
      </c>
      <c r="AG14" s="614">
        <f t="shared" si="0"/>
        <v>12</v>
      </c>
      <c r="AH14" s="615" t="s">
        <v>69</v>
      </c>
      <c r="AI14" s="616">
        <f t="shared" si="1"/>
        <v>3447360</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f>IF(基本情報入力シート!C36="","",基本情報入力シート!C36)</f>
        <v>1</v>
      </c>
      <c r="C15" s="601">
        <f>IF(基本情報入力シート!D36="","",基本情報入力シート!D36)</f>
        <v>1</v>
      </c>
      <c r="D15" s="602">
        <f>IF(基本情報入力シート!E36="","",基本情報入力シート!E36)</f>
        <v>3</v>
      </c>
      <c r="E15" s="602">
        <f>IF(基本情報入力シート!F36="","",基本情報入力シート!F36)</f>
        <v>4</v>
      </c>
      <c r="F15" s="602">
        <f>IF(基本情報入力シート!G36="","",基本情報入力シート!G36)</f>
        <v>5</v>
      </c>
      <c r="G15" s="602">
        <f>IF(基本情報入力シート!H36="","",基本情報入力シート!H36)</f>
        <v>6</v>
      </c>
      <c r="H15" s="602">
        <f>IF(基本情報入力シート!I36="","",基本情報入力シート!I36)</f>
        <v>7</v>
      </c>
      <c r="I15" s="602">
        <f>IF(基本情報入力シート!J36="","",基本情報入力シート!J36)</f>
        <v>8</v>
      </c>
      <c r="J15" s="602">
        <f>IF(基本情報入力シート!K36="","",基本情報入力シート!K36)</f>
        <v>9</v>
      </c>
      <c r="K15" s="603">
        <f>IF(基本情報入力シート!L36="","",基本情報入力シート!L36)</f>
        <v>4</v>
      </c>
      <c r="L15" s="604" t="str">
        <f>IF(基本情報入力シート!M36="","",基本情報入力シート!M36)</f>
        <v>埼玉県</v>
      </c>
      <c r="M15" s="604" t="str">
        <f>IF(基本情報入力シート!R36="","",基本情報入力シート!R36)</f>
        <v>埼玉県</v>
      </c>
      <c r="N15" s="604" t="str">
        <f>IF(基本情報入力シート!W36="","",基本情報入力シート!W36)</f>
        <v>さいたま市</v>
      </c>
      <c r="O15" s="599" t="str">
        <f>IF(基本情報入力シート!X36="","",基本情報入力シート!X36)</f>
        <v>介護保険事業所名称０４</v>
      </c>
      <c r="P15" s="605" t="str">
        <f>IF(基本情報入力シート!Y36="","",基本情報入力シート!Y36)</f>
        <v>介護老人福祉施設</v>
      </c>
      <c r="Q15" s="606">
        <f>IF(基本情報入力シート!Z36="","",基本情報入力シート!Z36)</f>
        <v>2000000</v>
      </c>
      <c r="R15" s="633">
        <f>IF(基本情報入力シート!AA36="","",基本情報入力シート!AA36)</f>
        <v>10.68</v>
      </c>
      <c r="S15" s="634" t="s">
        <v>558</v>
      </c>
      <c r="T15" s="635" t="s">
        <v>561</v>
      </c>
      <c r="U15" s="636">
        <f>IF(P15="","",VLOOKUP(P15,【参考】数式用!$A$5:$I$38,MATCH(T15,【参考】数式用!$H$4:$I$4,0)+7,0))</f>
        <v>2.7E-2</v>
      </c>
      <c r="V15" s="846" t="s">
        <v>367</v>
      </c>
      <c r="W15" s="244" t="s">
        <v>34</v>
      </c>
      <c r="X15" s="637">
        <v>4</v>
      </c>
      <c r="Y15" s="241" t="s">
        <v>12</v>
      </c>
      <c r="Z15" s="637">
        <v>9</v>
      </c>
      <c r="AA15" s="393" t="s">
        <v>102</v>
      </c>
      <c r="AB15" s="637">
        <v>5</v>
      </c>
      <c r="AC15" s="241" t="s">
        <v>12</v>
      </c>
      <c r="AD15" s="637">
        <v>3</v>
      </c>
      <c r="AE15" s="241" t="s">
        <v>17</v>
      </c>
      <c r="AF15" s="613" t="s">
        <v>49</v>
      </c>
      <c r="AG15" s="614">
        <f t="shared" si="0"/>
        <v>7</v>
      </c>
      <c r="AH15" s="615" t="s">
        <v>69</v>
      </c>
      <c r="AI15" s="616">
        <f t="shared" si="1"/>
        <v>4037040</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f>IF(基本情報入力シート!C37="","",基本情報入力シート!C37)</f>
        <v>1</v>
      </c>
      <c r="C16" s="601">
        <f>IF(基本情報入力シート!D37="","",基本情報入力シート!D37)</f>
        <v>4</v>
      </c>
      <c r="D16" s="602">
        <f>IF(基本情報入力シート!E37="","",基本情報入力シート!E37)</f>
        <v>3</v>
      </c>
      <c r="E16" s="602">
        <f>IF(基本情報入力シート!F37="","",基本情報入力シート!F37)</f>
        <v>4</v>
      </c>
      <c r="F16" s="602">
        <f>IF(基本情報入力シート!G37="","",基本情報入力シート!G37)</f>
        <v>5</v>
      </c>
      <c r="G16" s="602">
        <f>IF(基本情報入力シート!H37="","",基本情報入力シート!H37)</f>
        <v>6</v>
      </c>
      <c r="H16" s="602">
        <f>IF(基本情報入力シート!I37="","",基本情報入力シート!I37)</f>
        <v>7</v>
      </c>
      <c r="I16" s="602">
        <f>IF(基本情報入力シート!J37="","",基本情報入力シート!J37)</f>
        <v>8</v>
      </c>
      <c r="J16" s="602">
        <f>IF(基本情報入力シート!K37="","",基本情報入力シート!K37)</f>
        <v>9</v>
      </c>
      <c r="K16" s="603">
        <f>IF(基本情報入力シート!L37="","",基本情報入力シート!L37)</f>
        <v>5</v>
      </c>
      <c r="L16" s="604" t="str">
        <f>IF(基本情報入力シート!M37="","",基本情報入力シート!M37)</f>
        <v>横浜市</v>
      </c>
      <c r="M16" s="604" t="str">
        <f>IF(基本情報入力シート!R37="","",基本情報入力シート!R37)</f>
        <v>神奈川県</v>
      </c>
      <c r="N16" s="604" t="str">
        <f>IF(基本情報入力シート!W37="","",基本情報入力シート!W37)</f>
        <v>横浜市</v>
      </c>
      <c r="O16" s="599" t="str">
        <f>IF(基本情報入力シート!X37="","",基本情報入力シート!X37)</f>
        <v>介護保険事業所名称０５</v>
      </c>
      <c r="P16" s="605" t="str">
        <f>IF(基本情報入力シート!Y37="","",基本情報入力シート!Y37)</f>
        <v>小規模多機能型居宅介護</v>
      </c>
      <c r="Q16" s="606">
        <f>IF(基本情報入力シート!Z37="","",基本情報入力シート!Z37)</f>
        <v>400000</v>
      </c>
      <c r="R16" s="633">
        <f>IF(基本情報入力シート!AA37="","",基本情報入力シート!AA37)</f>
        <v>10.88</v>
      </c>
      <c r="S16" s="634" t="s">
        <v>558</v>
      </c>
      <c r="T16" s="635" t="s">
        <v>561</v>
      </c>
      <c r="U16" s="636">
        <f>IF(P16="","",VLOOKUP(P16,【参考】数式用!$A$5:$I$38,MATCH(T16,【参考】数式用!$H$4:$I$4,0)+7,0))</f>
        <v>1.4999999999999999E-2</v>
      </c>
      <c r="V16" s="846" t="s">
        <v>362</v>
      </c>
      <c r="W16" s="244" t="s">
        <v>34</v>
      </c>
      <c r="X16" s="637">
        <v>4</v>
      </c>
      <c r="Y16" s="241" t="s">
        <v>12</v>
      </c>
      <c r="Z16" s="637">
        <v>6</v>
      </c>
      <c r="AA16" s="393" t="s">
        <v>102</v>
      </c>
      <c r="AB16" s="637">
        <v>5</v>
      </c>
      <c r="AC16" s="241" t="s">
        <v>12</v>
      </c>
      <c r="AD16" s="637">
        <v>3</v>
      </c>
      <c r="AE16" s="241" t="s">
        <v>17</v>
      </c>
      <c r="AF16" s="613" t="s">
        <v>49</v>
      </c>
      <c r="AG16" s="614">
        <f t="shared" si="0"/>
        <v>10</v>
      </c>
      <c r="AH16" s="615" t="s">
        <v>69</v>
      </c>
      <c r="AI16" s="616">
        <f t="shared" si="1"/>
        <v>652800</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f>IF(基本情報入力シート!C38="","",基本情報入力シート!C38)</f>
        <v>1</v>
      </c>
      <c r="C17" s="601">
        <f>IF(基本情報入力シート!D38="","",基本情報入力シート!D38)</f>
        <v>2</v>
      </c>
      <c r="D17" s="602">
        <f>IF(基本情報入力シート!E38="","",基本情報入力シート!E38)</f>
        <v>3</v>
      </c>
      <c r="E17" s="602">
        <f>IF(基本情報入力シート!F38="","",基本情報入力シート!F38)</f>
        <v>4</v>
      </c>
      <c r="F17" s="602">
        <f>IF(基本情報入力シート!G38="","",基本情報入力シート!G38)</f>
        <v>5</v>
      </c>
      <c r="G17" s="602">
        <f>IF(基本情報入力シート!H38="","",基本情報入力シート!H38)</f>
        <v>6</v>
      </c>
      <c r="H17" s="602">
        <f>IF(基本情報入力シート!I38="","",基本情報入力シート!I38)</f>
        <v>7</v>
      </c>
      <c r="I17" s="602">
        <f>IF(基本情報入力シート!J38="","",基本情報入力シート!J38)</f>
        <v>8</v>
      </c>
      <c r="J17" s="602">
        <f>IF(基本情報入力シート!K38="","",基本情報入力シート!K38)</f>
        <v>9</v>
      </c>
      <c r="K17" s="603">
        <f>IF(基本情報入力シート!L38="","",基本情報入力シート!L38)</f>
        <v>6</v>
      </c>
      <c r="L17" s="604" t="str">
        <f>IF(基本情報入力シート!M38="","",基本情報入力シート!M38)</f>
        <v>千葉県</v>
      </c>
      <c r="M17" s="604" t="str">
        <f>IF(基本情報入力シート!R38="","",基本情報入力シート!R38)</f>
        <v>千葉県</v>
      </c>
      <c r="N17" s="604" t="str">
        <f>IF(基本情報入力シート!W38="","",基本情報入力シート!W38)</f>
        <v>千葉市</v>
      </c>
      <c r="O17" s="599" t="str">
        <f>IF(基本情報入力シート!X38="","",基本情報入力シート!X38)</f>
        <v>介護保険事業所名称０６</v>
      </c>
      <c r="P17" s="605" t="str">
        <f>IF(基本情報入力シート!Y38="","",基本情報入力シート!Y38)</f>
        <v>介護老人保健施設</v>
      </c>
      <c r="Q17" s="606">
        <f>IF(基本情報入力シート!Z38="","",基本情報入力シート!Z38)</f>
        <v>2800000</v>
      </c>
      <c r="R17" s="633">
        <f>IF(基本情報入力シート!AA38="","",基本情報入力シート!AA38)</f>
        <v>10.68</v>
      </c>
      <c r="S17" s="634" t="s">
        <v>558</v>
      </c>
      <c r="T17" s="635" t="s">
        <v>561</v>
      </c>
      <c r="U17" s="636">
        <f>IF(P17="","",VLOOKUP(P17,【参考】数式用!$A$5:$I$38,MATCH(T17,【参考】数式用!$H$4:$I$4,0)+7,0))</f>
        <v>2.1000000000000001E-2</v>
      </c>
      <c r="V17" s="846" t="s">
        <v>362</v>
      </c>
      <c r="W17" s="244" t="s">
        <v>201</v>
      </c>
      <c r="X17" s="637">
        <v>4</v>
      </c>
      <c r="Y17" s="241" t="s">
        <v>202</v>
      </c>
      <c r="Z17" s="637">
        <v>4</v>
      </c>
      <c r="AA17" s="393" t="s">
        <v>203</v>
      </c>
      <c r="AB17" s="637">
        <v>5</v>
      </c>
      <c r="AC17" s="241" t="s">
        <v>202</v>
      </c>
      <c r="AD17" s="637">
        <v>3</v>
      </c>
      <c r="AE17" s="241" t="s">
        <v>204</v>
      </c>
      <c r="AF17" s="613" t="s">
        <v>205</v>
      </c>
      <c r="AG17" s="614">
        <f t="shared" ref="AG17:AG80" si="5">IF(X17&gt;=1,(AB17*12+AD17)-(X17*12+Z17)+1,"")</f>
        <v>12</v>
      </c>
      <c r="AH17" s="615" t="s">
        <v>206</v>
      </c>
      <c r="AI17" s="616">
        <f t="shared" si="1"/>
        <v>7535808</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f>IF(基本情報入力シート!C39="","",基本情報入力シート!C39)</f>
        <v>1</v>
      </c>
      <c r="C18" s="601">
        <f>IF(基本情報入力シート!D39="","",基本情報入力シート!D39)</f>
        <v>2</v>
      </c>
      <c r="D18" s="602">
        <f>IF(基本情報入力シート!E39="","",基本情報入力シート!E39)</f>
        <v>3</v>
      </c>
      <c r="E18" s="602">
        <f>IF(基本情報入力シート!F39="","",基本情報入力シート!F39)</f>
        <v>4</v>
      </c>
      <c r="F18" s="602">
        <f>IF(基本情報入力シート!G39="","",基本情報入力シート!G39)</f>
        <v>5</v>
      </c>
      <c r="G18" s="602">
        <f>IF(基本情報入力シート!H39="","",基本情報入力シート!H39)</f>
        <v>6</v>
      </c>
      <c r="H18" s="602">
        <f>IF(基本情報入力シート!I39="","",基本情報入力シート!I39)</f>
        <v>7</v>
      </c>
      <c r="I18" s="602">
        <f>IF(基本情報入力シート!J39="","",基本情報入力シート!J39)</f>
        <v>8</v>
      </c>
      <c r="J18" s="602">
        <f>IF(基本情報入力シート!K39="","",基本情報入力シート!K39)</f>
        <v>9</v>
      </c>
      <c r="K18" s="603">
        <f>IF(基本情報入力シート!L39="","",基本情報入力シート!L39)</f>
        <v>6</v>
      </c>
      <c r="L18" s="604" t="str">
        <f>IF(基本情報入力シート!M39="","",基本情報入力シート!M39)</f>
        <v>千葉県</v>
      </c>
      <c r="M18" s="604" t="str">
        <f>IF(基本情報入力シート!R39="","",基本情報入力シート!R39)</f>
        <v>千葉県</v>
      </c>
      <c r="N18" s="604" t="str">
        <f>IF(基本情報入力シート!W39="","",基本情報入力シート!W39)</f>
        <v>千葉市</v>
      </c>
      <c r="O18" s="599" t="str">
        <f>IF(基本情報入力シート!X39="","",基本情報入力シート!X39)</f>
        <v>介護保険事業所名称０７</v>
      </c>
      <c r="P18" s="605" t="str">
        <f>IF(基本情報入力シート!Y39="","",基本情報入力シート!Y39)</f>
        <v>短期入所療養介護（老健）</v>
      </c>
      <c r="Q18" s="606">
        <f>IF(基本情報入力シート!Z39="","",基本情報入力シート!Z39)</f>
        <v>300000</v>
      </c>
      <c r="R18" s="633">
        <f>IF(基本情報入力シート!AA39="","",基本情報入力シート!AA39)</f>
        <v>10.88</v>
      </c>
      <c r="S18" s="634" t="s">
        <v>558</v>
      </c>
      <c r="T18" s="635" t="s">
        <v>561</v>
      </c>
      <c r="U18" s="636">
        <f>IF(P18="","",VLOOKUP(P18,【参考】数式用!$A$5:$I$38,MATCH(T18,【参考】数式用!$H$4:$I$4,0)+7,0))</f>
        <v>2.1000000000000001E-2</v>
      </c>
      <c r="V18" s="846" t="s">
        <v>362</v>
      </c>
      <c r="W18" s="244" t="s">
        <v>201</v>
      </c>
      <c r="X18" s="637">
        <v>4</v>
      </c>
      <c r="Y18" s="241" t="s">
        <v>202</v>
      </c>
      <c r="Z18" s="637">
        <v>4</v>
      </c>
      <c r="AA18" s="393" t="s">
        <v>203</v>
      </c>
      <c r="AB18" s="637">
        <v>5</v>
      </c>
      <c r="AC18" s="241" t="s">
        <v>202</v>
      </c>
      <c r="AD18" s="637">
        <v>3</v>
      </c>
      <c r="AE18" s="241" t="s">
        <v>204</v>
      </c>
      <c r="AF18" s="613" t="s">
        <v>205</v>
      </c>
      <c r="AG18" s="614">
        <f t="shared" si="5"/>
        <v>12</v>
      </c>
      <c r="AH18" s="615" t="s">
        <v>206</v>
      </c>
      <c r="AI18" s="616">
        <f t="shared" si="1"/>
        <v>822528</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〇〇ケアサービス</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○○ケアサービス</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100－1234</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千代田区霞が関１－２－２</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○○ビル18F</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コウロウ　タロウ</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厚労　太郎</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03-3571-0000</v>
      </c>
      <c r="L15" s="1367"/>
      <c r="M15" s="1367"/>
      <c r="N15" s="1367"/>
      <c r="O15" s="1367"/>
      <c r="P15" s="1366" t="s">
        <v>1</v>
      </c>
      <c r="Q15" s="1366"/>
      <c r="R15" s="1366"/>
      <c r="S15" s="1366"/>
      <c r="T15" s="1367" t="str">
        <f>IF(基本情報入力シート!M25="","",基本情報入力シート!M25)</f>
        <v>03-3571-9999</v>
      </c>
      <c r="U15" s="1367"/>
      <c r="V15" s="1367"/>
      <c r="W15" s="1367"/>
      <c r="X15" s="1367"/>
      <c r="Y15" s="1366" t="s">
        <v>168</v>
      </c>
      <c r="Z15" s="1366"/>
      <c r="AA15" s="1366"/>
      <c r="AB15" s="1366"/>
      <c r="AC15" s="1368" t="str">
        <f>IF(基本情報入力シート!M26="","",基本情報入力シート!M26)</f>
        <v>aaa@aaa.aa.jp</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○○ケアサービス</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10"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○○ケアサービス</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f>IF(基本情報入力シート!C33="","",基本情報入力シート!C33)</f>
        <v>1</v>
      </c>
      <c r="D12" s="823">
        <f>IF(基本情報入力シート!D33="","",基本情報入力シート!D33)</f>
        <v>3</v>
      </c>
      <c r="E12" s="823">
        <f>IF(基本情報入力シート!E33="","",基本情報入力シート!E33)</f>
        <v>3</v>
      </c>
      <c r="F12" s="823">
        <f>IF(基本情報入力シート!F33="","",基本情報入力シート!F33)</f>
        <v>4</v>
      </c>
      <c r="G12" s="823">
        <f>IF(基本情報入力シート!G33="","",基本情報入力シート!G33)</f>
        <v>5</v>
      </c>
      <c r="H12" s="823">
        <f>IF(基本情報入力シート!H33="","",基本情報入力シート!H33)</f>
        <v>6</v>
      </c>
      <c r="I12" s="823">
        <f>IF(基本情報入力シート!I33="","",基本情報入力シート!I33)</f>
        <v>7</v>
      </c>
      <c r="J12" s="823">
        <f>IF(基本情報入力シート!J33="","",基本情報入力シート!J33)</f>
        <v>8</v>
      </c>
      <c r="K12" s="823">
        <f>IF(基本情報入力シート!K33="","",基本情報入力シート!K33)</f>
        <v>9</v>
      </c>
      <c r="L12" s="861">
        <f>IF(基本情報入力シート!L33="","",基本情報入力シート!L33)</f>
        <v>1</v>
      </c>
      <c r="M12" s="824" t="str">
        <f>IF(基本情報入力シート!M33="","",基本情報入力シート!M33)</f>
        <v>東京都</v>
      </c>
      <c r="N12" s="824" t="str">
        <f>IF(基本情報入力シート!R33="","",基本情報入力シート!R33)</f>
        <v>東京都</v>
      </c>
      <c r="O12" s="824" t="str">
        <f>IF(基本情報入力シート!W33="","",基本情報入力シート!W33)</f>
        <v>千代田区</v>
      </c>
      <c r="P12" s="821" t="str">
        <f>IF(基本情報入力シート!X33="","",基本情報入力シート!X33)</f>
        <v>介護保険事業所名称０１</v>
      </c>
      <c r="Q12" s="825" t="str">
        <f>IF(基本情報入力シート!Y33="","",基本情報入力シート!Y33)</f>
        <v>訪問介護</v>
      </c>
      <c r="R12" s="826"/>
      <c r="S12" s="827">
        <f>IF(B12="×","",IF(基本情報入力シート!AB33="","",基本情報入力シート!AB33))</f>
        <v>290750</v>
      </c>
      <c r="T12" s="828">
        <f>IF(B12="×","",IF(基本情報入力シート!AA33="","",基本情報入力シート!AA33))</f>
        <v>11.4</v>
      </c>
      <c r="U12" s="829">
        <f>IF(B12="×","",IF(Q12="","",VLOOKUP(Q12,【参考】数式用2!$A$3:$C$36,3,FALSE)))</f>
        <v>2.1000000000000001E-2</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f>IF(基本情報入力シート!C34="","",基本情報入力シート!C34)</f>
        <v>1</v>
      </c>
      <c r="D13" s="823">
        <f>IF(基本情報入力シート!D34="","",基本情報入力シート!D34)</f>
        <v>3</v>
      </c>
      <c r="E13" s="823">
        <f>IF(基本情報入力シート!E34="","",基本情報入力シート!E34)</f>
        <v>3</v>
      </c>
      <c r="F13" s="823">
        <f>IF(基本情報入力シート!F34="","",基本情報入力シート!F34)</f>
        <v>4</v>
      </c>
      <c r="G13" s="823">
        <f>IF(基本情報入力シート!G34="","",基本情報入力シート!G34)</f>
        <v>5</v>
      </c>
      <c r="H13" s="823">
        <f>IF(基本情報入力シート!H34="","",基本情報入力シート!H34)</f>
        <v>6</v>
      </c>
      <c r="I13" s="823">
        <f>IF(基本情報入力シート!I34="","",基本情報入力シート!I34)</f>
        <v>7</v>
      </c>
      <c r="J13" s="823">
        <f>IF(基本情報入力シート!J34="","",基本情報入力シート!J34)</f>
        <v>8</v>
      </c>
      <c r="K13" s="823">
        <f>IF(基本情報入力シート!K34="","",基本情報入力シート!K34)</f>
        <v>9</v>
      </c>
      <c r="L13" s="861">
        <f>IF(基本情報入力シート!L34="","",基本情報入力シート!L34)</f>
        <v>2</v>
      </c>
      <c r="M13" s="824" t="str">
        <f>IF(基本情報入力シート!M34="","",基本情報入力シート!M34)</f>
        <v>東京都</v>
      </c>
      <c r="N13" s="824" t="str">
        <f>IF(基本情報入力シート!R34="","",基本情報入力シート!R34)</f>
        <v>東京都</v>
      </c>
      <c r="O13" s="824" t="str">
        <f>IF(基本情報入力シート!W34="","",基本情報入力シート!W34)</f>
        <v>豊島区</v>
      </c>
      <c r="P13" s="821" t="str">
        <f>IF(基本情報入力シート!X34="","",基本情報入力シート!X34)</f>
        <v>介護保険事業所名称０２</v>
      </c>
      <c r="Q13" s="825" t="str">
        <f>IF(基本情報入力シート!Y34="","",基本情報入力シート!Y34)</f>
        <v>通所介護</v>
      </c>
      <c r="R13" s="826"/>
      <c r="S13" s="827">
        <f>IF(B13="×","",IF(基本情報入力シート!AB34="","",基本情報入力シート!AB34))</f>
        <v>427600</v>
      </c>
      <c r="T13" s="828">
        <f>IF(B13="×","",IF(基本情報入力シート!AA34="","",基本情報入力シート!AA34))</f>
        <v>10.9</v>
      </c>
      <c r="U13" s="829">
        <f>IF(B13="×","",IF(Q13="","",VLOOKUP(Q13,【参考】数式用2!$A$3:$C$36,3,FALSE)))</f>
        <v>0.01</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f>IF(基本情報入力シート!C35="","",基本情報入力シート!C35)</f>
        <v>1</v>
      </c>
      <c r="D14" s="823">
        <f>IF(基本情報入力シート!D35="","",基本情報入力シート!D35)</f>
        <v>3</v>
      </c>
      <c r="E14" s="823">
        <f>IF(基本情報入力シート!E35="","",基本情報入力シート!E35)</f>
        <v>3</v>
      </c>
      <c r="F14" s="823">
        <f>IF(基本情報入力シート!F35="","",基本情報入力シート!F35)</f>
        <v>4</v>
      </c>
      <c r="G14" s="823">
        <f>IF(基本情報入力シート!G35="","",基本情報入力シート!G35)</f>
        <v>5</v>
      </c>
      <c r="H14" s="823">
        <f>IF(基本情報入力シート!H35="","",基本情報入力シート!H35)</f>
        <v>6</v>
      </c>
      <c r="I14" s="823">
        <f>IF(基本情報入力シート!I35="","",基本情報入力シート!I35)</f>
        <v>7</v>
      </c>
      <c r="J14" s="823">
        <f>IF(基本情報入力シート!J35="","",基本情報入力シート!J35)</f>
        <v>8</v>
      </c>
      <c r="K14" s="823">
        <f>IF(基本情報入力シート!K35="","",基本情報入力シート!K35)</f>
        <v>9</v>
      </c>
      <c r="L14" s="861">
        <f>IF(基本情報入力シート!L35="","",基本情報入力シート!L35)</f>
        <v>3</v>
      </c>
      <c r="M14" s="824" t="str">
        <f>IF(基本情報入力シート!M35="","",基本情報入力シート!M35)</f>
        <v>世田谷区</v>
      </c>
      <c r="N14" s="824" t="str">
        <f>IF(基本情報入力シート!R35="","",基本情報入力シート!R35)</f>
        <v>東京都</v>
      </c>
      <c r="O14" s="824" t="str">
        <f>IF(基本情報入力シート!W35="","",基本情報入力シート!W35)</f>
        <v>世田谷区</v>
      </c>
      <c r="P14" s="821" t="str">
        <f>IF(基本情報入力シート!X35="","",基本情報入力シート!X35)</f>
        <v>介護保険事業所名称０３</v>
      </c>
      <c r="Q14" s="825" t="str">
        <f>IF(基本情報入力シート!Y35="","",基本情報入力シート!Y35)</f>
        <v>定期巡回･随時対応型訪問介護看護</v>
      </c>
      <c r="R14" s="826"/>
      <c r="S14" s="827">
        <f>IF(B14="×","",IF(基本情報入力シート!AB35="","",基本情報入力シート!AB35))</f>
        <v>480000</v>
      </c>
      <c r="T14" s="828">
        <f>IF(B14="×","",IF(基本情報入力シート!AA35="","",基本情報入力シート!AA35))</f>
        <v>11.4</v>
      </c>
      <c r="U14" s="829">
        <f>IF(B14="×","",IF(Q14="","",VLOOKUP(Q14,【参考】数式用2!$A$3:$C$36,3,FALSE)))</f>
        <v>2.1000000000000001E-2</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f>IF(基本情報入力シート!C36="","",基本情報入力シート!C36)</f>
        <v>1</v>
      </c>
      <c r="D15" s="823">
        <f>IF(基本情報入力シート!D36="","",基本情報入力シート!D36)</f>
        <v>1</v>
      </c>
      <c r="E15" s="823">
        <f>IF(基本情報入力シート!E36="","",基本情報入力シート!E36)</f>
        <v>3</v>
      </c>
      <c r="F15" s="823">
        <f>IF(基本情報入力シート!F36="","",基本情報入力シート!F36)</f>
        <v>4</v>
      </c>
      <c r="G15" s="823">
        <f>IF(基本情報入力シート!G36="","",基本情報入力シート!G36)</f>
        <v>5</v>
      </c>
      <c r="H15" s="823">
        <f>IF(基本情報入力シート!H36="","",基本情報入力シート!H36)</f>
        <v>6</v>
      </c>
      <c r="I15" s="823">
        <f>IF(基本情報入力シート!I36="","",基本情報入力シート!I36)</f>
        <v>7</v>
      </c>
      <c r="J15" s="823">
        <f>IF(基本情報入力シート!J36="","",基本情報入力シート!J36)</f>
        <v>8</v>
      </c>
      <c r="K15" s="823">
        <f>IF(基本情報入力シート!K36="","",基本情報入力シート!K36)</f>
        <v>9</v>
      </c>
      <c r="L15" s="861">
        <f>IF(基本情報入力シート!L36="","",基本情報入力シート!L36)</f>
        <v>4</v>
      </c>
      <c r="M15" s="824" t="str">
        <f>IF(基本情報入力シート!M36="","",基本情報入力シート!M36)</f>
        <v>埼玉県</v>
      </c>
      <c r="N15" s="824" t="str">
        <f>IF(基本情報入力シート!R36="","",基本情報入力シート!R36)</f>
        <v>埼玉県</v>
      </c>
      <c r="O15" s="824" t="str">
        <f>IF(基本情報入力シート!W36="","",基本情報入力シート!W36)</f>
        <v>さいたま市</v>
      </c>
      <c r="P15" s="821" t="str">
        <f>IF(基本情報入力シート!X36="","",基本情報入力シート!X36)</f>
        <v>介護保険事業所名称０４</v>
      </c>
      <c r="Q15" s="825" t="str">
        <f>IF(基本情報入力シート!Y36="","",基本情報入力シート!Y36)</f>
        <v>介護老人福祉施設</v>
      </c>
      <c r="R15" s="826"/>
      <c r="S15" s="827">
        <f>IF(B15="×","",IF(基本情報入力シート!AB36="","",基本情報入力シート!AB36))</f>
        <v>2220000</v>
      </c>
      <c r="T15" s="828">
        <f>IF(B15="×","",IF(基本情報入力シート!AA36="","",基本情報入力シート!AA36))</f>
        <v>10.68</v>
      </c>
      <c r="U15" s="829">
        <f>IF(B15="×","",IF(Q15="","",VLOOKUP(Q15,【参考】数式用2!$A$3:$C$36,3,FALSE)))</f>
        <v>1.4E-2</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f>IF(基本情報入力シート!C37="","",基本情報入力シート!C37)</f>
        <v>1</v>
      </c>
      <c r="D16" s="823">
        <f>IF(基本情報入力シート!D37="","",基本情報入力シート!D37)</f>
        <v>4</v>
      </c>
      <c r="E16" s="823">
        <f>IF(基本情報入力シート!E37="","",基本情報入力シート!E37)</f>
        <v>3</v>
      </c>
      <c r="F16" s="823">
        <f>IF(基本情報入力シート!F37="","",基本情報入力シート!F37)</f>
        <v>4</v>
      </c>
      <c r="G16" s="823">
        <f>IF(基本情報入力シート!G37="","",基本情報入力シート!G37)</f>
        <v>5</v>
      </c>
      <c r="H16" s="823">
        <f>IF(基本情報入力シート!H37="","",基本情報入力シート!H37)</f>
        <v>6</v>
      </c>
      <c r="I16" s="823">
        <f>IF(基本情報入力シート!I37="","",基本情報入力シート!I37)</f>
        <v>7</v>
      </c>
      <c r="J16" s="823">
        <f>IF(基本情報入力シート!J37="","",基本情報入力シート!J37)</f>
        <v>8</v>
      </c>
      <c r="K16" s="823">
        <f>IF(基本情報入力シート!K37="","",基本情報入力シート!K37)</f>
        <v>9</v>
      </c>
      <c r="L16" s="861">
        <f>IF(基本情報入力シート!L37="","",基本情報入力シート!L37)</f>
        <v>5</v>
      </c>
      <c r="M16" s="824" t="str">
        <f>IF(基本情報入力シート!M37="","",基本情報入力シート!M37)</f>
        <v>横浜市</v>
      </c>
      <c r="N16" s="824" t="str">
        <f>IF(基本情報入力シート!R37="","",基本情報入力シート!R37)</f>
        <v>神奈川県</v>
      </c>
      <c r="O16" s="824" t="str">
        <f>IF(基本情報入力シート!W37="","",基本情報入力シート!W37)</f>
        <v>横浜市</v>
      </c>
      <c r="P16" s="821" t="str">
        <f>IF(基本情報入力シート!X37="","",基本情報入力シート!X37)</f>
        <v>介護保険事業所名称０５</v>
      </c>
      <c r="Q16" s="825" t="str">
        <f>IF(基本情報入力シート!Y37="","",基本情報入力シート!Y37)</f>
        <v>小規模多機能型居宅介護</v>
      </c>
      <c r="R16" s="826"/>
      <c r="S16" s="827">
        <f>IF(B16="×","",IF(基本情報入力シート!AB37="","",基本情報入力シート!AB37))</f>
        <v>435600</v>
      </c>
      <c r="T16" s="828">
        <f>IF(B16="×","",IF(基本情報入力シート!AA37="","",基本情報入力シート!AA37))</f>
        <v>10.88</v>
      </c>
      <c r="U16" s="829">
        <f>IF(B16="×","",IF(Q16="","",VLOOKUP(Q16,【参考】数式用2!$A$3:$C$36,3,FALSE)))</f>
        <v>1.6E-2</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f>IF(基本情報入力シート!C38="","",基本情報入力シート!C38)</f>
        <v>1</v>
      </c>
      <c r="D17" s="823">
        <f>IF(基本情報入力シート!D38="","",基本情報入力シート!D38)</f>
        <v>2</v>
      </c>
      <c r="E17" s="823">
        <f>IF(基本情報入力シート!E38="","",基本情報入力シート!E38)</f>
        <v>3</v>
      </c>
      <c r="F17" s="823">
        <f>IF(基本情報入力シート!F38="","",基本情報入力シート!F38)</f>
        <v>4</v>
      </c>
      <c r="G17" s="823">
        <f>IF(基本情報入力シート!G38="","",基本情報入力シート!G38)</f>
        <v>5</v>
      </c>
      <c r="H17" s="823">
        <f>IF(基本情報入力シート!H38="","",基本情報入力シート!H38)</f>
        <v>6</v>
      </c>
      <c r="I17" s="823">
        <f>IF(基本情報入力シート!I38="","",基本情報入力シート!I38)</f>
        <v>7</v>
      </c>
      <c r="J17" s="823">
        <f>IF(基本情報入力シート!J38="","",基本情報入力シート!J38)</f>
        <v>8</v>
      </c>
      <c r="K17" s="823">
        <f>IF(基本情報入力シート!K38="","",基本情報入力シート!K38)</f>
        <v>9</v>
      </c>
      <c r="L17" s="861">
        <f>IF(基本情報入力シート!L38="","",基本情報入力シート!L38)</f>
        <v>6</v>
      </c>
      <c r="M17" s="824" t="str">
        <f>IF(基本情報入力シート!M38="","",基本情報入力シート!M38)</f>
        <v>千葉県</v>
      </c>
      <c r="N17" s="824" t="str">
        <f>IF(基本情報入力シート!R38="","",基本情報入力シート!R38)</f>
        <v>千葉県</v>
      </c>
      <c r="O17" s="824" t="str">
        <f>IF(基本情報入力シート!W38="","",基本情報入力シート!W38)</f>
        <v>千葉市</v>
      </c>
      <c r="P17" s="821" t="str">
        <f>IF(基本情報入力シート!X38="","",基本情報入力シート!X38)</f>
        <v>介護保険事業所名称０６</v>
      </c>
      <c r="Q17" s="825" t="str">
        <f>IF(基本情報入力シート!Y38="","",基本情報入力シート!Y38)</f>
        <v>介護老人保健施設</v>
      </c>
      <c r="R17" s="826"/>
      <c r="S17" s="827">
        <f>IF(B17="×","",IF(基本情報入力シート!AB38="","",基本情報入力シート!AB38))</f>
        <v>2968000</v>
      </c>
      <c r="T17" s="828">
        <f>IF(B17="×","",IF(基本情報入力シート!AA38="","",基本情報入力シート!AA38))</f>
        <v>10.68</v>
      </c>
      <c r="U17" s="829">
        <f>IF(B17="×","",IF(Q17="","",VLOOKUP(Q17,【参考】数式用2!$A$3:$C$36,3,FALSE)))</f>
        <v>8.0000000000000002E-3</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f>IF(基本情報入力シート!C39="","",基本情報入力シート!C39)</f>
        <v>1</v>
      </c>
      <c r="D18" s="823">
        <f>IF(基本情報入力シート!D39="","",基本情報入力シート!D39)</f>
        <v>2</v>
      </c>
      <c r="E18" s="823">
        <f>IF(基本情報入力シート!E39="","",基本情報入力シート!E39)</f>
        <v>3</v>
      </c>
      <c r="F18" s="823">
        <f>IF(基本情報入力シート!F39="","",基本情報入力シート!F39)</f>
        <v>4</v>
      </c>
      <c r="G18" s="823">
        <f>IF(基本情報入力シート!G39="","",基本情報入力シート!G39)</f>
        <v>5</v>
      </c>
      <c r="H18" s="823">
        <f>IF(基本情報入力シート!H39="","",基本情報入力シート!H39)</f>
        <v>6</v>
      </c>
      <c r="I18" s="823">
        <f>IF(基本情報入力シート!I39="","",基本情報入力シート!I39)</f>
        <v>7</v>
      </c>
      <c r="J18" s="823">
        <f>IF(基本情報入力シート!J39="","",基本情報入力シート!J39)</f>
        <v>8</v>
      </c>
      <c r="K18" s="823">
        <f>IF(基本情報入力シート!K39="","",基本情報入力シート!K39)</f>
        <v>9</v>
      </c>
      <c r="L18" s="861">
        <f>IF(基本情報入力シート!L39="","",基本情報入力シート!L39)</f>
        <v>6</v>
      </c>
      <c r="M18" s="824" t="str">
        <f>IF(基本情報入力シート!M39="","",基本情報入力シート!M39)</f>
        <v>千葉県</v>
      </c>
      <c r="N18" s="824" t="str">
        <f>IF(基本情報入力シート!R39="","",基本情報入力シート!R39)</f>
        <v>千葉県</v>
      </c>
      <c r="O18" s="824" t="str">
        <f>IF(基本情報入力シート!W39="","",基本情報入力シート!W39)</f>
        <v>千葉市</v>
      </c>
      <c r="P18" s="821" t="str">
        <f>IF(基本情報入力シート!X39="","",基本情報入力シート!X39)</f>
        <v>介護保険事業所名称０７</v>
      </c>
      <c r="Q18" s="825" t="str">
        <f>IF(基本情報入力シート!Y39="","",基本情報入力シート!Y39)</f>
        <v>短期入所療養介護（老健）</v>
      </c>
      <c r="R18" s="826"/>
      <c r="S18" s="827">
        <f>IF(B18="×","",IF(基本情報入力シート!AB39="","",基本情報入力シート!AB39))</f>
        <v>318000</v>
      </c>
      <c r="T18" s="828">
        <f>IF(B18="×","",IF(基本情報入力シート!AA39="","",基本情報入力シート!AA39))</f>
        <v>10.88</v>
      </c>
      <c r="U18" s="829">
        <f>IF(B18="×","",IF(Q18="","",VLOOKUP(Q18,【参考】数式用2!$A$3:$C$36,3,FALSE)))</f>
        <v>8.0000000000000002E-3</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2022-03-15T01:43:46Z</dcterms:modified>
</cp:coreProperties>
</file>