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5" yWindow="1260" windowWidth="7680" windowHeight="8715" tabRatio="727" activeTab="0"/>
  </bookViews>
  <sheets>
    <sheet name="p.26" sheetId="1" r:id="rId1"/>
    <sheet name="p.27~28" sheetId="2" r:id="rId2"/>
    <sheet name="p.29" sheetId="3" r:id="rId3"/>
    <sheet name="p.30" sheetId="4" r:id="rId4"/>
    <sheet name="p.31～32" sheetId="5" r:id="rId5"/>
    <sheet name="p.33" sheetId="6" r:id="rId6"/>
    <sheet name="p.34" sheetId="7" r:id="rId7"/>
  </sheets>
  <definedNames>
    <definedName name="_xlnm.Print_Area" localSheetId="0">'p.26'!$A$1:$K$30</definedName>
    <definedName name="_xlnm.Print_Area" localSheetId="1">'p.27~28'!$A$1:$N$56</definedName>
  </definedNames>
  <calcPr calcMode="manual" fullCalcOnLoad="1"/>
</workbook>
</file>

<file path=xl/sharedStrings.xml><?xml version="1.0" encoding="utf-8"?>
<sst xmlns="http://schemas.openxmlformats.org/spreadsheetml/2006/main" count="398" uniqueCount="323">
  <si>
    <t>世帯数</t>
  </si>
  <si>
    <t>男</t>
  </si>
  <si>
    <t>女</t>
  </si>
  <si>
    <t>１世帯当り人員</t>
  </si>
  <si>
    <t>女＝１００（％）</t>
  </si>
  <si>
    <t>大正９年</t>
  </si>
  <si>
    <t>昭和5年</t>
  </si>
  <si>
    <t>年齢区分</t>
  </si>
  <si>
    <t>男</t>
  </si>
  <si>
    <t>女</t>
  </si>
  <si>
    <t>0～4</t>
  </si>
  <si>
    <t>35～39</t>
  </si>
  <si>
    <t>5～9</t>
  </si>
  <si>
    <t>40～44</t>
  </si>
  <si>
    <t>10～14</t>
  </si>
  <si>
    <t>45～49</t>
  </si>
  <si>
    <t>15～19</t>
  </si>
  <si>
    <t>50～54</t>
  </si>
  <si>
    <t>20～24</t>
  </si>
  <si>
    <t>55～59</t>
  </si>
  <si>
    <t>25～29</t>
  </si>
  <si>
    <t>60～64</t>
  </si>
  <si>
    <t>30～34</t>
  </si>
  <si>
    <t>65～69</t>
  </si>
  <si>
    <t>年少人口</t>
  </si>
  <si>
    <t>（0～14歳）</t>
  </si>
  <si>
    <t>生産年齢人口</t>
  </si>
  <si>
    <t>（15～64歳）</t>
  </si>
  <si>
    <t>老年人口</t>
  </si>
  <si>
    <t>（65歳以上）</t>
  </si>
  <si>
    <t>70～７４</t>
  </si>
  <si>
    <t>75～79</t>
  </si>
  <si>
    <t>80～84</t>
  </si>
  <si>
    <t>85～89</t>
  </si>
  <si>
    <t>90～94</t>
  </si>
  <si>
    <t>95～99</t>
  </si>
  <si>
    <t>100歳以上</t>
  </si>
  <si>
    <t>　　　人口指数</t>
  </si>
  <si>
    <t xml:space="preserve">性 比     (女＝100) </t>
  </si>
  <si>
    <t>年齢(各歳)</t>
  </si>
  <si>
    <t>総数</t>
  </si>
  <si>
    <t>男</t>
  </si>
  <si>
    <t>女</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</si>
  <si>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</si>
  <si>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</si>
  <si>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</si>
  <si>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</si>
  <si>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</si>
  <si>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</si>
  <si>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</si>
  <si>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</si>
  <si>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</si>
  <si>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</si>
  <si>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</si>
  <si>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</si>
  <si>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</si>
  <si>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</si>
  <si>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</si>
  <si>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</si>
  <si>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</si>
  <si>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</si>
  <si>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</si>
  <si>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</si>
  <si>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</si>
  <si>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</si>
  <si>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</si>
  <si>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</si>
  <si>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</si>
  <si>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県計</t>
  </si>
  <si>
    <t>順位</t>
  </si>
  <si>
    <t>性比(女
100に対
する男の
割合)</t>
  </si>
  <si>
    <t>年少人口
割合(％)</t>
  </si>
  <si>
    <t>老年人口
割合(％)</t>
  </si>
  <si>
    <t>一般世帯
の世帯人
員(人)</t>
  </si>
  <si>
    <t>総　　数</t>
  </si>
  <si>
    <t>0～4歳</t>
  </si>
  <si>
    <t>55～59歳</t>
  </si>
  <si>
    <t>100歳以上</t>
  </si>
  <si>
    <t>15歳未満</t>
  </si>
  <si>
    <t>15～64歳</t>
  </si>
  <si>
    <t>65歳以上</t>
  </si>
  <si>
    <t>75歳以上</t>
  </si>
  <si>
    <t>年齢別割合（％）</t>
  </si>
  <si>
    <t>年齢中位数</t>
  </si>
  <si>
    <t>生産年齢
人口割合
(％)</t>
  </si>
  <si>
    <t>面　積</t>
  </si>
  <si>
    <t>85歳以上</t>
  </si>
  <si>
    <t>（　再　掲　）</t>
  </si>
  <si>
    <t>構成比</t>
  </si>
  <si>
    <t xml:space="preserve">　第1次産業    </t>
  </si>
  <si>
    <t xml:space="preserve">　第2次産業    </t>
  </si>
  <si>
    <t xml:space="preserve">　第3次産業    </t>
  </si>
  <si>
    <t>一般世帯</t>
  </si>
  <si>
    <t>　住宅に住む一般世帯</t>
  </si>
  <si>
    <t>　　　　持ち家</t>
  </si>
  <si>
    <t>　　　　 公営・公団・公社の借家</t>
  </si>
  <si>
    <t>　　　　民営の借家</t>
  </si>
  <si>
    <t>　　　　給与住宅</t>
  </si>
  <si>
    <t>　（主世帯）</t>
  </si>
  <si>
    <t>　（間借り）</t>
  </si>
  <si>
    <t>　（住宅以外に住む一般世帯）</t>
  </si>
  <si>
    <t>美郷町</t>
  </si>
  <si>
    <t>18．住居の種類別、住宅の所有の関係</t>
  </si>
  <si>
    <t>19．産業（大分類）、男女別15歳以上就業者数</t>
  </si>
  <si>
    <t>60～64</t>
  </si>
  <si>
    <t>5～9</t>
  </si>
  <si>
    <t>65～69</t>
  </si>
  <si>
    <t>10～14</t>
  </si>
  <si>
    <t>70～74</t>
  </si>
  <si>
    <t>15～19</t>
  </si>
  <si>
    <t>75～79</t>
  </si>
  <si>
    <t>20～24</t>
  </si>
  <si>
    <t>80～84</t>
  </si>
  <si>
    <t>25～29</t>
  </si>
  <si>
    <t>85～89</t>
  </si>
  <si>
    <t>30～34</t>
  </si>
  <si>
    <t>90～94</t>
  </si>
  <si>
    <t>35～39</t>
  </si>
  <si>
    <t>95～99</t>
  </si>
  <si>
    <t>40～44</t>
  </si>
  <si>
    <t>45～49</t>
  </si>
  <si>
    <t>50～54</t>
  </si>
  <si>
    <t>不詳</t>
  </si>
  <si>
    <t>美郷町</t>
  </si>
  <si>
    <t>区分</t>
  </si>
  <si>
    <t>平成２</t>
  </si>
  <si>
    <t>前回との増減</t>
  </si>
  <si>
    <t>第１地区</t>
  </si>
  <si>
    <t>人　口</t>
  </si>
  <si>
    <t>世帯数</t>
  </si>
  <si>
    <t>第２地区</t>
  </si>
  <si>
    <t>第３地区</t>
  </si>
  <si>
    <t>第４地区</t>
  </si>
  <si>
    <t>第５地区</t>
  </si>
  <si>
    <t>第６地区</t>
  </si>
  <si>
    <t>第７地区</t>
  </si>
  <si>
    <t>第８地区</t>
  </si>
  <si>
    <t>第９地区</t>
  </si>
  <si>
    <t>計</t>
  </si>
  <si>
    <t>第１地区・・・山王原・仲町</t>
  </si>
  <si>
    <t>第５地区・・・轟木・仮屋・大野・大八重</t>
  </si>
  <si>
    <t>第２地区・・・上米・中米・檪田・谷</t>
  </si>
  <si>
    <t>第６地区・・・勝岡・前目・蓼池・餅原・三原</t>
  </si>
  <si>
    <t>第７地区・・・上新・下新・今市・中原・花見原</t>
  </si>
  <si>
    <t>第４地区・・・田上・梶山</t>
  </si>
  <si>
    <t>第８地区・・・東原・稗田</t>
  </si>
  <si>
    <t>第９地区・・・東植木・西植木</t>
  </si>
  <si>
    <t>世帯人員</t>
  </si>
  <si>
    <t>人口密度</t>
  </si>
  <si>
    <r>
      <t>性　比　</t>
    </r>
    <r>
      <rPr>
        <sz val="10"/>
        <rFont val="ＭＳ Ｐゴシック"/>
        <family val="3"/>
      </rPr>
      <t>　（女＝１００）</t>
    </r>
  </si>
  <si>
    <t>宮    崎    市</t>
  </si>
  <si>
    <t>都    城    市</t>
  </si>
  <si>
    <t>延    岡    市</t>
  </si>
  <si>
    <t>西米良村</t>
  </si>
  <si>
    <t>日    南    市</t>
  </si>
  <si>
    <t>木城町</t>
  </si>
  <si>
    <t>小    林    市</t>
  </si>
  <si>
    <t>川南町</t>
  </si>
  <si>
    <t>日    向    市</t>
  </si>
  <si>
    <t>串    間    市</t>
  </si>
  <si>
    <t>西    都    市</t>
  </si>
  <si>
    <t>門川町</t>
  </si>
  <si>
    <t>え  び  の  市</t>
  </si>
  <si>
    <t>椎葉村</t>
  </si>
  <si>
    <t>西臼杵郡</t>
  </si>
  <si>
    <t>東諸県郡</t>
  </si>
  <si>
    <t>国富町</t>
  </si>
  <si>
    <t>Ｌ　学術研究，専門技術サービス業</t>
  </si>
  <si>
    <t>Ｐ　医療，福祉</t>
  </si>
  <si>
    <t xml:space="preserve">　　農業のみ    </t>
  </si>
  <si>
    <t xml:space="preserve">Ｂ　漁業    </t>
  </si>
  <si>
    <t xml:space="preserve">Ｃ　鉱業    </t>
  </si>
  <si>
    <t xml:space="preserve">Ｄ　建設業    </t>
  </si>
  <si>
    <t xml:space="preserve">Ｅ　製造業    </t>
  </si>
  <si>
    <t xml:space="preserve">Ｆ　電気・ガス・熱供給・水道業 </t>
  </si>
  <si>
    <t xml:space="preserve">Ｇ　情報通信業    </t>
  </si>
  <si>
    <t xml:space="preserve">Ｊ　金融・保険業    </t>
  </si>
  <si>
    <t xml:space="preserve">Ｋ　不動産業    </t>
  </si>
  <si>
    <t xml:space="preserve">Ｍ　飲食店，宿泊業    </t>
  </si>
  <si>
    <t>Ｎ　生活関連サービス業，娯楽業</t>
  </si>
  <si>
    <t>Ｏ　教育，学習支援業</t>
  </si>
  <si>
    <t>Ｑ　複合サービス事業</t>
  </si>
  <si>
    <t xml:space="preserve">Ｒ　サービス業（他に分類されないもの）    </t>
  </si>
  <si>
    <t xml:space="preserve">Ｓ　公務（他に分類されないもの）    </t>
  </si>
  <si>
    <t xml:space="preserve">Ｔ　分類不能の産業    </t>
  </si>
  <si>
    <t>旧宮崎市</t>
  </si>
  <si>
    <t>旧清武町</t>
  </si>
  <si>
    <t>旧田野町</t>
  </si>
  <si>
    <t>旧佐土原町</t>
  </si>
  <si>
    <t>旧高岡町</t>
  </si>
  <si>
    <t>旧都城市</t>
  </si>
  <si>
    <t>旧山之口町</t>
  </si>
  <si>
    <t>旧高城町</t>
  </si>
  <si>
    <t>旧山田町</t>
  </si>
  <si>
    <t>旧高崎町</t>
  </si>
  <si>
    <t>旧延岡市</t>
  </si>
  <si>
    <t>旧北方町</t>
  </si>
  <si>
    <t>旧北川町</t>
  </si>
  <si>
    <t>旧北浦町</t>
  </si>
  <si>
    <t>旧日南市</t>
  </si>
  <si>
    <t>旧北郷町</t>
  </si>
  <si>
    <t>旧南郷町</t>
  </si>
  <si>
    <t>旧小林市</t>
  </si>
  <si>
    <t>旧野尻町</t>
  </si>
  <si>
    <t>旧須木村</t>
  </si>
  <si>
    <t>旧日向市</t>
  </si>
  <si>
    <t>旧東郷町</t>
  </si>
  <si>
    <t>児湯郡</t>
  </si>
  <si>
    <t>旧南郷村</t>
  </si>
  <si>
    <t>旧西郷村</t>
  </si>
  <si>
    <t>旧北郷村</t>
  </si>
  <si>
    <t>東臼杵郡</t>
  </si>
  <si>
    <t>町村計</t>
  </si>
  <si>
    <t>宮崎県計</t>
  </si>
  <si>
    <t>北諸
県郡　</t>
  </si>
  <si>
    <t>西諸
県郡</t>
  </si>
  <si>
    <r>
      <t>（１）　年少人口指数＝０～１４歳人口／１５～６４歳人口×１００＝2</t>
    </r>
    <r>
      <rPr>
        <sz val="11"/>
        <rFont val="ＭＳ Ｐゴシック"/>
        <family val="3"/>
      </rPr>
      <t>6.6</t>
    </r>
  </si>
  <si>
    <r>
      <t>（２）　老年人口指数＝６５歳以上／１５～６４歳人口×１００＝3</t>
    </r>
    <r>
      <rPr>
        <sz val="11"/>
        <rFont val="ＭＳ Ｐゴシック"/>
        <family val="3"/>
      </rPr>
      <t>7.4</t>
    </r>
  </si>
  <si>
    <r>
      <t>（３）　従属人口指数＝（０～１４歳人口＋６５歳以上人口）／１５～６４歳人口×１００＝6</t>
    </r>
    <r>
      <rPr>
        <sz val="11"/>
        <rFont val="ＭＳ Ｐゴシック"/>
        <family val="3"/>
      </rPr>
      <t>4.0</t>
    </r>
  </si>
  <si>
    <r>
      <t>（４）　老年化人口指数＝６５歳以上人口／０～１４歳人口×１００＝1</t>
    </r>
    <r>
      <rPr>
        <sz val="11"/>
        <rFont val="ＭＳ Ｐゴシック"/>
        <family val="3"/>
      </rPr>
      <t>40.8</t>
    </r>
  </si>
  <si>
    <t>Ａ　農業・林業</t>
  </si>
  <si>
    <t xml:space="preserve">Ｈ　運輸業    </t>
  </si>
  <si>
    <t xml:space="preserve">Ｉ　 卸売・小売業    </t>
  </si>
  <si>
    <t>16．年齢別・男女別人口</t>
  </si>
  <si>
    <t>15．国勢調査人口の推移　</t>
  </si>
  <si>
    <t>17．地区別世帯数及び人口</t>
  </si>
  <si>
    <t>20．宮崎県内の世帯数・人口・面積</t>
  </si>
  <si>
    <t>人口    密度</t>
  </si>
  <si>
    <t>総　数</t>
  </si>
  <si>
    <t>区　分</t>
  </si>
  <si>
    <t xml:space="preserve">　総　数    </t>
  </si>
  <si>
    <t>総　数</t>
  </si>
  <si>
    <t>人　口　</t>
  </si>
  <si>
    <t>市町村名</t>
  </si>
  <si>
    <t>総数</t>
  </si>
  <si>
    <t>市　計</t>
  </si>
  <si>
    <t>平均年齢</t>
  </si>
  <si>
    <t>不　詳</t>
  </si>
  <si>
    <t>（再掲）</t>
  </si>
  <si>
    <t>回 数</t>
  </si>
  <si>
    <t>人 口（人）</t>
  </si>
  <si>
    <t>総 数</t>
  </si>
  <si>
    <t>性 比</t>
  </si>
  <si>
    <t>面 積     （Ｋ㎡）</t>
  </si>
  <si>
    <t>４  国勢調査</t>
  </si>
  <si>
    <t>１世帯あたり
人　員</t>
  </si>
  <si>
    <t xml:space="preserve"> 21．年齢 (各歳)男女別人口、年齢別割合、平均年齢、年齢中位数</t>
  </si>
  <si>
    <t>調査年</t>
  </si>
  <si>
    <t xml:space="preserve">  (宮崎県:人)</t>
  </si>
  <si>
    <t>単位：k㎡、人／k㎡、％</t>
  </si>
  <si>
    <t>人口増加
率(％)</t>
  </si>
  <si>
    <t>資料：企画商工課　「令和２年国勢調査」</t>
  </si>
  <si>
    <t>平成2年</t>
  </si>
  <si>
    <t>令和2年</t>
  </si>
  <si>
    <t>資料：企画商工課　「令和2年国勢調査」</t>
  </si>
  <si>
    <t>( 54.3% )</t>
  </si>
  <si>
    <t>( 28.4% )</t>
  </si>
  <si>
    <t>資料：企画商工課「令和2年国勢調査」</t>
  </si>
  <si>
    <t>資料：企画商工課「令和２年国勢調査」</t>
  </si>
  <si>
    <t>資料：企画商工課「令和2年国勢調査」</t>
  </si>
  <si>
    <t>（17.3%）</t>
  </si>
  <si>
    <t>資料：企画商工課  　「令和2年国勢調査」</t>
  </si>
  <si>
    <t>令和２</t>
  </si>
  <si>
    <r>
      <t>注１　面積は、国土交通省国土地理院</t>
    </r>
    <r>
      <rPr>
        <sz val="11"/>
        <rFont val="ＭＳ Ｐゴシック"/>
        <family val="3"/>
      </rPr>
      <t>「令和2年全国都道府県市区町村別面積調」による。ただし、旧市町村については「平成12年全国都道府県市区町村別面積調」による。また，旧市町村の境界未定地域については，総務省統計局において面積を推定している。
※一部、境界未定や境界未定部に関係する市区町村の合計面積などの設定のもと算出している。</t>
    </r>
  </si>
  <si>
    <r>
      <t>資料：企画商工課「</t>
    </r>
    <r>
      <rPr>
        <sz val="11"/>
        <rFont val="ＭＳ Ｐゴシック"/>
        <family val="3"/>
      </rPr>
      <t>令和２年国勢調査」</t>
    </r>
  </si>
  <si>
    <t>22．令和２年国勢調査　主要指標</t>
  </si>
  <si>
    <t>単位：人　（令和２年１０月１日現在）</t>
  </si>
  <si>
    <r>
      <t>第３地区・・・</t>
    </r>
    <r>
      <rPr>
        <sz val="9"/>
        <rFont val="ＭＳ Ｐゴシック"/>
        <family val="3"/>
      </rPr>
      <t>小鷺巣・寺柱・大鷺巣・高畑</t>
    </r>
  </si>
  <si>
    <t>資料：企画商工課「令和２年国勢調査」</t>
  </si>
  <si>
    <t>5,997</t>
  </si>
  <si>
    <t>5,765</t>
  </si>
  <si>
    <t>493</t>
  </si>
  <si>
    <t>314</t>
  </si>
  <si>
    <t>420</t>
  </si>
  <si>
    <t>296</t>
  </si>
  <si>
    <t>3</t>
  </si>
  <si>
    <t>-</t>
  </si>
  <si>
    <t>1</t>
  </si>
  <si>
    <t>933</t>
  </si>
  <si>
    <t>186</t>
  </si>
  <si>
    <t>1,066</t>
  </si>
  <si>
    <t>708</t>
  </si>
  <si>
    <t>24</t>
  </si>
  <si>
    <t>4</t>
  </si>
  <si>
    <t>53</t>
  </si>
  <si>
    <t>33</t>
  </si>
  <si>
    <t>503</t>
  </si>
  <si>
    <t>131</t>
  </si>
  <si>
    <t>820</t>
  </si>
  <si>
    <t>984</t>
  </si>
  <si>
    <t>66</t>
  </si>
  <si>
    <t>91</t>
  </si>
  <si>
    <t>74</t>
  </si>
  <si>
    <t>48</t>
  </si>
  <si>
    <t>142</t>
  </si>
  <si>
    <t>88</t>
  </si>
  <si>
    <t>149</t>
  </si>
  <si>
    <t>313</t>
  </si>
  <si>
    <t>148</t>
  </si>
  <si>
    <t>273</t>
  </si>
  <si>
    <t>247</t>
  </si>
  <si>
    <t>393</t>
  </si>
  <si>
    <t>440</t>
  </si>
  <si>
    <t>1,707</t>
  </si>
  <si>
    <t>103</t>
  </si>
  <si>
    <t>414</t>
  </si>
  <si>
    <t>161</t>
  </si>
  <si>
    <t>45</t>
  </si>
  <si>
    <t>43</t>
  </si>
  <si>
    <t>496</t>
  </si>
  <si>
    <t>2,000</t>
  </si>
  <si>
    <t>894</t>
  </si>
  <si>
    <t>3,456</t>
  </si>
  <si>
    <t>4,514</t>
  </si>
  <si>
    <t>国勢調査　26</t>
  </si>
  <si>
    <t>27　国勢調査</t>
  </si>
  <si>
    <t>国勢調査　28</t>
  </si>
  <si>
    <t>29　国勢調査</t>
  </si>
  <si>
    <t>国勢調査　30</t>
  </si>
  <si>
    <t xml:space="preserve">31　国勢調査  </t>
  </si>
  <si>
    <t>国勢調査　32</t>
  </si>
  <si>
    <t>33　国勢調査</t>
  </si>
  <si>
    <t>国勢調査　34</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</si>
</sst>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0000000000"/>
    <numFmt numFmtId="178" formatCode="0.0%"/>
    <numFmt numFmtId="179" formatCode="0.000000"/>
    <numFmt numFmtId="180" formatCode="0.00000"/>
    <numFmt numFmtId="181" formatCode="0.0000"/>
    <numFmt numFmtId="182" formatCode="0.000"/>
    <numFmt numFmtId="183" formatCode="0.0"/>
    <numFmt numFmtId="184" formatCode="#,##0_ ;[Red]\-#,##0\ "/>
    <numFmt numFmtId="185" formatCode="[&lt;=999]000;[&lt;=99999]000\-00;000\-0000"/>
    <numFmt numFmtId="186" formatCode="#\ ?/100"/>
    <numFmt numFmtId="187" formatCode="0_);[Red]\(0\)"/>
    <numFmt numFmtId="188" formatCode="#,##0_);[Red]\(#,##0\)"/>
    <numFmt numFmtId="189" formatCode="#,##0_);\(#,##0\)"/>
    <numFmt numFmtId="190" formatCode="#,##0.0;[Red]\-#,##0.0"/>
    <numFmt numFmtId="191" formatCode="#,##0_ "/>
    <numFmt numFmtId="192" formatCode="#,##0.0_ "/>
    <numFmt numFmtId="193" formatCode="0_ "/>
    <numFmt numFmtId="194" formatCode="0.0_ "/>
    <numFmt numFmtId="195" formatCode="_ &quot;¥&quot;* #,##0.0_ ;_ &quot;¥&quot;* \-#,##0.0_ ;_ &quot;¥&quot;* &quot;-&quot;?_ ;_ @_ "/>
    <numFmt numFmtId="196" formatCode="_ * #,##0.0_ ;_ * \-#,##0.0_ ;_ * &quot;-&quot;?_ ;_ @_ "/>
    <numFmt numFmtId="197" formatCode="0.00_ "/>
    <numFmt numFmtId="198" formatCode="0;&quot;△ &quot;0"/>
    <numFmt numFmtId="199" formatCode="0.0;&quot;△ &quot;0.0"/>
    <numFmt numFmtId="200" formatCode="0.00;&quot;△ &quot;0.00"/>
    <numFmt numFmtId="201" formatCode="\ ###,###,##0;&quot;-&quot;###,###,##0"/>
    <numFmt numFmtId="202" formatCode="#,##0.0"/>
    <numFmt numFmtId="203" formatCode="#,##0.00_);[Red]\(#,##0.00\)"/>
    <numFmt numFmtId="204" formatCode="#,##0.0_);[Red]\(#,##0.0\)"/>
    <numFmt numFmtId="205" formatCode="#,##0.0;&quot;△ &quot;#,##0.0"/>
    <numFmt numFmtId="206" formatCode="#,###"/>
  </numFmts>
  <fonts count="48">
    <font>
      <sz val="11"/>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color indexed="8"/>
      <name val="ＭＳ Ｐゴシック"/>
      <family val="3"/>
    </font>
    <font>
      <sz val="9"/>
      <name val="ＭＳ Ｐゴシック"/>
      <family val="3"/>
    </font>
    <font>
      <b/>
      <sz val="10"/>
      <name val="ＭＳ Ｐゴシック"/>
      <family val="3"/>
    </font>
    <font>
      <b/>
      <sz val="9"/>
      <name val="ＭＳ Ｐゴシック"/>
      <family val="3"/>
    </font>
    <font>
      <sz val="10"/>
      <name val="ＭＳ ゴシック"/>
      <family val="3"/>
    </font>
    <font>
      <sz val="11"/>
      <name val="ＭＳ ゴシック"/>
      <family val="3"/>
    </font>
    <font>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double"/>
      <bottom>
        <color indexed="63"/>
      </bottom>
    </border>
    <border>
      <left>
        <color indexed="63"/>
      </left>
      <right style="thin"/>
      <top style="double"/>
      <bottom style="thin"/>
    </border>
    <border>
      <left>
        <color indexed="63"/>
      </left>
      <right style="medium"/>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style="thin"/>
      <bottom style="thin"/>
    </border>
    <border>
      <left style="thin"/>
      <right style="thin"/>
      <top style="double"/>
      <bottom style="thin"/>
    </border>
    <border>
      <left style="thin"/>
      <right>
        <color indexed="63"/>
      </right>
      <top style="double"/>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double"/>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style="thin"/>
      <right style="thin"/>
      <top style="hair"/>
      <bottom style="thin"/>
    </border>
    <border>
      <left style="thin"/>
      <right style="thin"/>
      <top style="hair"/>
      <bottom>
        <color indexed="63"/>
      </bottom>
    </border>
    <border>
      <left style="thin"/>
      <right>
        <color indexed="63"/>
      </right>
      <top style="hair"/>
      <bottom style="thin"/>
    </border>
    <border>
      <left style="thin"/>
      <right style="thin"/>
      <top style="thin"/>
      <bottom style="hair"/>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hair"/>
    </border>
    <border>
      <left>
        <color indexed="63"/>
      </left>
      <right style="thin"/>
      <top style="hair"/>
      <bottom style="thin"/>
    </border>
    <border>
      <left>
        <color indexed="63"/>
      </left>
      <right>
        <color indexed="63"/>
      </right>
      <top style="hair"/>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thin"/>
      <top style="thin"/>
      <bottom style="thick"/>
    </border>
    <border>
      <left style="thin"/>
      <right>
        <color indexed="63"/>
      </right>
      <top style="thin"/>
      <bottom style="thick"/>
    </border>
    <border>
      <left style="medium"/>
      <right style="thin"/>
      <top>
        <color indexed="63"/>
      </top>
      <bottom style="thin"/>
    </border>
    <border>
      <left style="medium"/>
      <right>
        <color indexed="63"/>
      </right>
      <top style="thin"/>
      <bottom style="thin"/>
    </border>
    <border>
      <left style="medium"/>
      <right style="thin"/>
      <top>
        <color indexed="63"/>
      </top>
      <bottom style="medium"/>
    </border>
    <border>
      <left style="thin"/>
      <right style="thin"/>
      <top/>
      <bottom style="thin">
        <color indexed="8"/>
      </bottom>
    </border>
    <border>
      <left style="thin"/>
      <right>
        <color indexed="63"/>
      </right>
      <top/>
      <bottom style="thin">
        <color indexed="8"/>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style="thin"/>
      <bottom style="thin"/>
    </border>
    <border>
      <left>
        <color indexed="63"/>
      </left>
      <right>
        <color indexed="63"/>
      </right>
      <top style="thin"/>
      <bottom style="medium"/>
    </border>
    <border>
      <left>
        <color indexed="63"/>
      </left>
      <right>
        <color indexed="63"/>
      </right>
      <top style="double"/>
      <bottom>
        <color indexed="63"/>
      </bottom>
    </border>
    <border>
      <left>
        <color indexed="63"/>
      </left>
      <right style="thin"/>
      <top style="thin"/>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495">
    <xf numFmtId="0" fontId="0" fillId="0" borderId="0" xfId="0" applyAlignment="1">
      <alignment/>
    </xf>
    <xf numFmtId="0" fontId="0" fillId="0" borderId="0" xfId="0" applyBorder="1" applyAlignment="1">
      <alignment/>
    </xf>
    <xf numFmtId="183" fontId="0" fillId="0" borderId="0" xfId="0" applyNumberFormat="1" applyBorder="1" applyAlignment="1">
      <alignment/>
    </xf>
    <xf numFmtId="0" fontId="0" fillId="0" borderId="10" xfId="0" applyBorder="1"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38" fontId="3" fillId="0" borderId="0" xfId="49" applyFont="1" applyBorder="1" applyAlignment="1">
      <alignment vertical="center"/>
    </xf>
    <xf numFmtId="0" fontId="4" fillId="0" borderId="10" xfId="0" applyFont="1" applyBorder="1" applyAlignment="1">
      <alignment horizontal="right"/>
    </xf>
    <xf numFmtId="38" fontId="4" fillId="0" borderId="14" xfId="49" applyFont="1" applyBorder="1" applyAlignment="1">
      <alignment horizontal="center" vertical="center"/>
    </xf>
    <xf numFmtId="38" fontId="2" fillId="0" borderId="0" xfId="49" applyFont="1" applyBorder="1" applyAlignment="1">
      <alignment horizontal="center" vertical="center"/>
    </xf>
    <xf numFmtId="38" fontId="2" fillId="0" borderId="0" xfId="49" applyFont="1" applyAlignment="1">
      <alignment horizontal="center"/>
    </xf>
    <xf numFmtId="38" fontId="4" fillId="0" borderId="0" xfId="49" applyFont="1" applyBorder="1" applyAlignment="1">
      <alignment/>
    </xf>
    <xf numFmtId="38" fontId="3" fillId="0" borderId="0" xfId="49" applyFont="1" applyBorder="1" applyAlignment="1">
      <alignment horizontal="center" vertical="center"/>
    </xf>
    <xf numFmtId="38" fontId="4" fillId="0" borderId="0" xfId="49" applyFont="1" applyAlignment="1">
      <alignment/>
    </xf>
    <xf numFmtId="38" fontId="4" fillId="0" borderId="0" xfId="49" applyFont="1" applyBorder="1" applyAlignment="1">
      <alignment horizontal="right"/>
    </xf>
    <xf numFmtId="38" fontId="4" fillId="0" borderId="0" xfId="49" applyFont="1" applyBorder="1" applyAlignment="1">
      <alignment horizontal="right" vertical="center"/>
    </xf>
    <xf numFmtId="38" fontId="4" fillId="0" borderId="15" xfId="49" applyFont="1" applyBorder="1" applyAlignment="1">
      <alignment horizontal="left" vertical="center"/>
    </xf>
    <xf numFmtId="38" fontId="4" fillId="0" borderId="11" xfId="49" applyFont="1" applyBorder="1" applyAlignment="1">
      <alignment horizontal="left" vertical="center"/>
    </xf>
    <xf numFmtId="38" fontId="4" fillId="0" borderId="11" xfId="49" applyFont="1" applyBorder="1" applyAlignment="1">
      <alignment vertical="center"/>
    </xf>
    <xf numFmtId="38" fontId="9" fillId="0" borderId="11" xfId="49" applyFont="1" applyBorder="1" applyAlignment="1">
      <alignment vertical="center" wrapText="1"/>
    </xf>
    <xf numFmtId="38" fontId="9" fillId="0" borderId="16" xfId="49" applyFont="1" applyBorder="1" applyAlignment="1">
      <alignment vertical="center" wrapText="1"/>
    </xf>
    <xf numFmtId="0" fontId="0" fillId="0" borderId="13" xfId="0" applyFont="1" applyBorder="1" applyAlignment="1">
      <alignment horizontal="center"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0" fontId="4" fillId="0" borderId="0" xfId="0" applyFont="1" applyAlignment="1">
      <alignment horizontal="right" vertical="center"/>
    </xf>
    <xf numFmtId="0" fontId="0" fillId="0" borderId="0" xfId="0" applyFont="1" applyAlignment="1">
      <alignment/>
    </xf>
    <xf numFmtId="0" fontId="0" fillId="0" borderId="12" xfId="0" applyFont="1" applyBorder="1" applyAlignment="1">
      <alignment/>
    </xf>
    <xf numFmtId="0" fontId="0" fillId="0" borderId="17" xfId="0" applyFont="1" applyBorder="1" applyAlignment="1">
      <alignment/>
    </xf>
    <xf numFmtId="0" fontId="4" fillId="0" borderId="10" xfId="0" applyFont="1" applyBorder="1" applyAlignment="1">
      <alignment/>
    </xf>
    <xf numFmtId="184" fontId="0" fillId="0" borderId="0" xfId="49" applyNumberFormat="1" applyFont="1" applyAlignment="1">
      <alignment/>
    </xf>
    <xf numFmtId="0" fontId="0" fillId="0" borderId="10" xfId="0" applyFont="1" applyBorder="1" applyAlignment="1">
      <alignment/>
    </xf>
    <xf numFmtId="0" fontId="10" fillId="0" borderId="0" xfId="0" applyFont="1" applyAlignment="1">
      <alignment horizontal="center"/>
    </xf>
    <xf numFmtId="0" fontId="4" fillId="0" borderId="0" xfId="0" applyFont="1" applyFill="1" applyBorder="1" applyAlignment="1">
      <alignment horizontal="center" vertical="center"/>
    </xf>
    <xf numFmtId="0" fontId="4" fillId="0" borderId="12" xfId="0" applyFont="1" applyBorder="1" applyAlignment="1">
      <alignment/>
    </xf>
    <xf numFmtId="0" fontId="4" fillId="0" borderId="18" xfId="0" applyFont="1" applyBorder="1" applyAlignment="1">
      <alignment/>
    </xf>
    <xf numFmtId="0" fontId="4" fillId="0" borderId="0" xfId="0" applyFont="1" applyAlignment="1">
      <alignment horizontal="center"/>
    </xf>
    <xf numFmtId="0" fontId="4" fillId="0" borderId="19" xfId="0" applyFont="1" applyFill="1" applyBorder="1" applyAlignment="1">
      <alignment horizontal="center"/>
    </xf>
    <xf numFmtId="0" fontId="4" fillId="0" borderId="19" xfId="0" applyFont="1" applyFill="1" applyBorder="1" applyAlignment="1">
      <alignment/>
    </xf>
    <xf numFmtId="0" fontId="4" fillId="0" borderId="20" xfId="0" applyFont="1" applyBorder="1" applyAlignment="1">
      <alignment/>
    </xf>
    <xf numFmtId="0" fontId="0" fillId="0" borderId="21" xfId="0" applyFont="1" applyBorder="1" applyAlignment="1">
      <alignment/>
    </xf>
    <xf numFmtId="0" fontId="4" fillId="0" borderId="22" xfId="0" applyFont="1" applyFill="1" applyBorder="1" applyAlignment="1">
      <alignment/>
    </xf>
    <xf numFmtId="0" fontId="4" fillId="0" borderId="0" xfId="0" applyFont="1" applyBorder="1" applyAlignment="1">
      <alignment horizontal="righ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xf>
    <xf numFmtId="0" fontId="0" fillId="0" borderId="26" xfId="0" applyFont="1" applyBorder="1" applyAlignment="1">
      <alignment/>
    </xf>
    <xf numFmtId="0" fontId="0" fillId="0" borderId="0" xfId="0" applyFont="1" applyBorder="1" applyAlignment="1">
      <alignment/>
    </xf>
    <xf numFmtId="0" fontId="9" fillId="0" borderId="20" xfId="0" applyFont="1" applyBorder="1" applyAlignment="1">
      <alignment horizontal="center" vertical="center"/>
    </xf>
    <xf numFmtId="0" fontId="9" fillId="0" borderId="25" xfId="0" applyFont="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1" xfId="0" applyFont="1" applyFill="1" applyBorder="1" applyAlignment="1">
      <alignment horizontal="center"/>
    </xf>
    <xf numFmtId="0" fontId="4" fillId="0" borderId="28" xfId="0" applyFont="1" applyFill="1" applyBorder="1" applyAlignment="1">
      <alignment horizontal="center"/>
    </xf>
    <xf numFmtId="0" fontId="4" fillId="0" borderId="28" xfId="0" applyFont="1" applyFill="1" applyBorder="1" applyAlignment="1">
      <alignment horizontal="center" vertical="center"/>
    </xf>
    <xf numFmtId="0" fontId="4" fillId="0" borderId="11" xfId="0" applyFont="1" applyFill="1" applyBorder="1" applyAlignment="1">
      <alignment horizontal="center"/>
    </xf>
    <xf numFmtId="0" fontId="10" fillId="0" borderId="28" xfId="0" applyFont="1" applyFill="1" applyBorder="1" applyAlignment="1">
      <alignment horizontal="center" vertical="center"/>
    </xf>
    <xf numFmtId="0" fontId="10" fillId="0" borderId="0" xfId="0" applyFont="1" applyFill="1" applyAlignment="1">
      <alignment horizontal="center"/>
    </xf>
    <xf numFmtId="0" fontId="4" fillId="0" borderId="19" xfId="0" applyFont="1" applyFill="1" applyBorder="1" applyAlignment="1">
      <alignment horizontal="left"/>
    </xf>
    <xf numFmtId="0" fontId="4" fillId="0" borderId="12" xfId="0" applyFont="1" applyFill="1" applyBorder="1" applyAlignment="1">
      <alignment/>
    </xf>
    <xf numFmtId="0" fontId="4" fillId="0" borderId="0" xfId="0" applyFont="1" applyFill="1" applyAlignment="1">
      <alignment/>
    </xf>
    <xf numFmtId="0" fontId="4" fillId="0" borderId="18" xfId="0" applyFont="1" applyFill="1" applyBorder="1" applyAlignment="1">
      <alignment/>
    </xf>
    <xf numFmtId="0" fontId="11" fillId="0" borderId="29" xfId="0" applyFont="1" applyBorder="1" applyAlignment="1">
      <alignment horizontal="center" vertical="center"/>
    </xf>
    <xf numFmtId="0" fontId="0" fillId="0" borderId="0" xfId="0" applyFont="1" applyAlignment="1">
      <alignment/>
    </xf>
    <xf numFmtId="0" fontId="0" fillId="0" borderId="12" xfId="0" applyFont="1" applyBorder="1" applyAlignment="1">
      <alignment horizontal="center"/>
    </xf>
    <xf numFmtId="0" fontId="0" fillId="0" borderId="11" xfId="0" applyFont="1" applyBorder="1" applyAlignment="1">
      <alignment horizont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8" xfId="0" applyFont="1" applyBorder="1" applyAlignment="1">
      <alignment/>
    </xf>
    <xf numFmtId="0" fontId="0" fillId="0" borderId="0" xfId="0" applyFont="1" applyFill="1" applyBorder="1" applyAlignment="1">
      <alignment/>
    </xf>
    <xf numFmtId="0" fontId="0" fillId="0" borderId="32"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0" fontId="0" fillId="0" borderId="16" xfId="0" applyFont="1" applyBorder="1" applyAlignment="1">
      <alignment horizontal="center"/>
    </xf>
    <xf numFmtId="183" fontId="0" fillId="0" borderId="0" xfId="0" applyNumberFormat="1" applyFont="1" applyAlignment="1">
      <alignment/>
    </xf>
    <xf numFmtId="0" fontId="0" fillId="0" borderId="33" xfId="0" applyFont="1" applyBorder="1" applyAlignment="1">
      <alignment horizontal="center" vertical="center"/>
    </xf>
    <xf numFmtId="0" fontId="0" fillId="0" borderId="12" xfId="0" applyFont="1" applyBorder="1" applyAlignment="1">
      <alignment horizontal="center" vertical="center"/>
    </xf>
    <xf numFmtId="3" fontId="0" fillId="0" borderId="18" xfId="49" applyNumberFormat="1" applyFont="1" applyBorder="1" applyAlignment="1">
      <alignment vertical="center"/>
    </xf>
    <xf numFmtId="3" fontId="0" fillId="0" borderId="33" xfId="49" applyNumberFormat="1" applyFont="1" applyBorder="1" applyAlignment="1">
      <alignment vertical="center"/>
    </xf>
    <xf numFmtId="0" fontId="0" fillId="0" borderId="17" xfId="0" applyFont="1" applyBorder="1" applyAlignment="1">
      <alignment horizontal="center" vertical="center"/>
    </xf>
    <xf numFmtId="3" fontId="0" fillId="0" borderId="34" xfId="49" applyNumberFormat="1" applyFont="1" applyBorder="1" applyAlignment="1">
      <alignment vertical="center"/>
    </xf>
    <xf numFmtId="38" fontId="0" fillId="0" borderId="18" xfId="49" applyFont="1" applyBorder="1" applyAlignment="1">
      <alignment vertical="center"/>
    </xf>
    <xf numFmtId="38" fontId="0" fillId="0" borderId="33" xfId="49" applyFont="1" applyBorder="1" applyAlignment="1">
      <alignment vertical="center"/>
    </xf>
    <xf numFmtId="38" fontId="0" fillId="0" borderId="0" xfId="49" applyFont="1" applyAlignment="1">
      <alignment/>
    </xf>
    <xf numFmtId="38" fontId="0" fillId="0" borderId="10" xfId="49" applyFont="1" applyBorder="1" applyAlignment="1">
      <alignment/>
    </xf>
    <xf numFmtId="38" fontId="0" fillId="0" borderId="0" xfId="49" applyFont="1" applyBorder="1" applyAlignment="1">
      <alignment/>
    </xf>
    <xf numFmtId="38" fontId="0" fillId="0" borderId="30" xfId="49" applyFont="1" applyBorder="1" applyAlignment="1">
      <alignment horizontal="center" vertical="center"/>
    </xf>
    <xf numFmtId="38" fontId="0" fillId="0" borderId="0" xfId="49" applyFont="1" applyBorder="1" applyAlignment="1">
      <alignment horizontal="center" vertical="center"/>
    </xf>
    <xf numFmtId="38" fontId="0" fillId="0" borderId="0" xfId="49" applyFont="1" applyBorder="1" applyAlignment="1">
      <alignment vertical="center"/>
    </xf>
    <xf numFmtId="184" fontId="0" fillId="0" borderId="14" xfId="49" applyNumberFormat="1" applyFont="1" applyFill="1" applyBorder="1" applyAlignment="1">
      <alignment vertical="top"/>
    </xf>
    <xf numFmtId="178" fontId="0" fillId="0" borderId="14" xfId="42" applyNumberFormat="1" applyFont="1" applyFill="1" applyBorder="1" applyAlignment="1">
      <alignment vertical="top"/>
    </xf>
    <xf numFmtId="38" fontId="4" fillId="0" borderId="11" xfId="49" applyFont="1" applyFill="1" applyBorder="1" applyAlignment="1">
      <alignment vertical="center"/>
    </xf>
    <xf numFmtId="184" fontId="0" fillId="0" borderId="12" xfId="49" applyNumberFormat="1" applyFont="1" applyFill="1" applyBorder="1" applyAlignment="1">
      <alignment/>
    </xf>
    <xf numFmtId="178" fontId="0" fillId="0" borderId="12" xfId="42" applyNumberFormat="1" applyFont="1" applyFill="1" applyBorder="1" applyAlignment="1">
      <alignment vertical="center"/>
    </xf>
    <xf numFmtId="184" fontId="0" fillId="0" borderId="0" xfId="49" applyNumberFormat="1" applyFont="1" applyAlignment="1">
      <alignment/>
    </xf>
    <xf numFmtId="184" fontId="0" fillId="0" borderId="13" xfId="49" applyNumberFormat="1" applyFont="1" applyBorder="1" applyAlignment="1">
      <alignment/>
    </xf>
    <xf numFmtId="178" fontId="0" fillId="0" borderId="13" xfId="42" applyNumberFormat="1" applyFont="1" applyFill="1" applyBorder="1" applyAlignment="1">
      <alignment vertical="center"/>
    </xf>
    <xf numFmtId="178" fontId="0" fillId="0" borderId="12" xfId="42" applyNumberFormat="1" applyFont="1" applyFill="1" applyBorder="1" applyAlignment="1">
      <alignment vertical="center"/>
    </xf>
    <xf numFmtId="38" fontId="0" fillId="0" borderId="0" xfId="49" applyFont="1" applyAlignment="1">
      <alignment/>
    </xf>
    <xf numFmtId="184" fontId="0" fillId="0" borderId="14" xfId="49" applyNumberFormat="1" applyFont="1" applyBorder="1" applyAlignment="1">
      <alignment/>
    </xf>
    <xf numFmtId="178" fontId="0" fillId="0" borderId="14" xfId="42" applyNumberFormat="1" applyFont="1" applyFill="1" applyBorder="1" applyAlignment="1">
      <alignment vertical="center"/>
    </xf>
    <xf numFmtId="38" fontId="0" fillId="0" borderId="12" xfId="49" applyFont="1" applyFill="1" applyBorder="1" applyAlignment="1">
      <alignment vertical="top"/>
    </xf>
    <xf numFmtId="184" fontId="0" fillId="0" borderId="12" xfId="49" applyNumberFormat="1" applyFont="1" applyFill="1" applyBorder="1" applyAlignment="1">
      <alignment vertical="top"/>
    </xf>
    <xf numFmtId="38" fontId="0" fillId="0" borderId="12" xfId="49" applyFont="1" applyFill="1" applyBorder="1" applyAlignment="1">
      <alignment vertical="top"/>
    </xf>
    <xf numFmtId="178" fontId="0" fillId="0" borderId="12" xfId="42" applyNumberFormat="1" applyFont="1" applyFill="1" applyBorder="1" applyAlignment="1">
      <alignment vertical="top"/>
    </xf>
    <xf numFmtId="38" fontId="0" fillId="0" borderId="17" xfId="49" applyFont="1" applyFill="1" applyBorder="1" applyAlignment="1">
      <alignment vertical="top"/>
    </xf>
    <xf numFmtId="178" fontId="0" fillId="0" borderId="17" xfId="42" applyNumberFormat="1" applyFont="1" applyFill="1" applyBorder="1" applyAlignment="1">
      <alignment vertical="top"/>
    </xf>
    <xf numFmtId="38" fontId="13" fillId="0" borderId="0" xfId="49" applyFont="1" applyFill="1" applyBorder="1" applyAlignment="1">
      <alignment vertical="top"/>
    </xf>
    <xf numFmtId="178" fontId="13" fillId="0" borderId="0" xfId="42" applyNumberFormat="1" applyFont="1" applyFill="1" applyBorder="1" applyAlignment="1">
      <alignment vertical="top"/>
    </xf>
    <xf numFmtId="184" fontId="13" fillId="0" borderId="0" xfId="49" applyNumberFormat="1" applyFont="1" applyFill="1" applyBorder="1" applyAlignment="1">
      <alignment vertical="top"/>
    </xf>
    <xf numFmtId="38" fontId="0" fillId="0" borderId="0" xfId="49" applyFont="1" applyAlignment="1">
      <alignment/>
    </xf>
    <xf numFmtId="38" fontId="0" fillId="0" borderId="0" xfId="49" applyFont="1" applyAlignment="1">
      <alignment/>
    </xf>
    <xf numFmtId="0" fontId="0" fillId="0" borderId="0" xfId="0" applyFont="1" applyFill="1" applyAlignment="1">
      <alignment/>
    </xf>
    <xf numFmtId="0" fontId="0" fillId="0" borderId="13" xfId="0" applyFont="1" applyFill="1" applyBorder="1" applyAlignment="1">
      <alignment horizontal="center" vertical="center"/>
    </xf>
    <xf numFmtId="183" fontId="0" fillId="0" borderId="12" xfId="0" applyNumberFormat="1" applyFont="1" applyBorder="1" applyAlignment="1">
      <alignment vertical="center"/>
    </xf>
    <xf numFmtId="183" fontId="0" fillId="0" borderId="11" xfId="0" applyNumberFormat="1" applyFont="1" applyBorder="1" applyAlignment="1">
      <alignment vertical="center"/>
    </xf>
    <xf numFmtId="0" fontId="0" fillId="0" borderId="32" xfId="0" applyFont="1" applyFill="1" applyBorder="1" applyAlignment="1">
      <alignment horizontal="center" vertical="center"/>
    </xf>
    <xf numFmtId="38" fontId="4" fillId="0" borderId="0" xfId="49" applyFont="1" applyFill="1" applyBorder="1" applyAlignment="1">
      <alignment vertical="center"/>
    </xf>
    <xf numFmtId="203" fontId="0" fillId="0" borderId="0" xfId="0" applyNumberFormat="1" applyFont="1" applyAlignment="1">
      <alignment/>
    </xf>
    <xf numFmtId="203" fontId="0" fillId="0" borderId="0" xfId="0" applyNumberFormat="1" applyFont="1" applyBorder="1" applyAlignment="1">
      <alignment/>
    </xf>
    <xf numFmtId="0" fontId="0" fillId="0" borderId="0" xfId="0" applyFont="1" applyAlignment="1">
      <alignment/>
    </xf>
    <xf numFmtId="38" fontId="0" fillId="0" borderId="0" xfId="49" applyFont="1" applyFill="1" applyBorder="1" applyAlignment="1">
      <alignment horizontal="center" vertical="center"/>
    </xf>
    <xf numFmtId="190" fontId="0" fillId="0" borderId="0" xfId="49" applyNumberFormat="1" applyFont="1" applyFill="1" applyBorder="1" applyAlignment="1">
      <alignment vertical="center"/>
    </xf>
    <xf numFmtId="38" fontId="0" fillId="0" borderId="0" xfId="49" applyFont="1" applyBorder="1" applyAlignment="1">
      <alignment horizontal="center" vertical="center" wrapText="1"/>
    </xf>
    <xf numFmtId="38" fontId="4" fillId="0" borderId="0" xfId="49" applyFont="1" applyFill="1" applyBorder="1" applyAlignment="1">
      <alignment horizontal="left" vertical="center"/>
    </xf>
    <xf numFmtId="38" fontId="12" fillId="0" borderId="0" xfId="49" applyFont="1" applyFill="1" applyBorder="1" applyAlignment="1">
      <alignment vertical="top"/>
    </xf>
    <xf numFmtId="38" fontId="0" fillId="0" borderId="0" xfId="49" applyFont="1" applyFill="1" applyAlignment="1">
      <alignment/>
    </xf>
    <xf numFmtId="38" fontId="0" fillId="0" borderId="0" xfId="49" applyFont="1" applyFill="1" applyAlignment="1">
      <alignment/>
    </xf>
    <xf numFmtId="38" fontId="0" fillId="0" borderId="0" xfId="49" applyFont="1" applyFill="1" applyBorder="1" applyAlignment="1">
      <alignment vertical="center"/>
    </xf>
    <xf numFmtId="0" fontId="0" fillId="0" borderId="0" xfId="0" applyFont="1" applyFill="1" applyAlignment="1">
      <alignment/>
    </xf>
    <xf numFmtId="0" fontId="9" fillId="0" borderId="35" xfId="0" applyFont="1" applyFill="1" applyBorder="1" applyAlignment="1">
      <alignment horizontal="center" vertical="center"/>
    </xf>
    <xf numFmtId="0" fontId="0" fillId="0" borderId="0" xfId="0" applyFont="1" applyFill="1" applyAlignment="1">
      <alignment/>
    </xf>
    <xf numFmtId="38" fontId="0" fillId="0" borderId="0" xfId="49" applyFont="1" applyBorder="1" applyAlignment="1">
      <alignment/>
    </xf>
    <xf numFmtId="38" fontId="4" fillId="0" borderId="0" xfId="49" applyFont="1" applyAlignment="1">
      <alignment horizontal="right"/>
    </xf>
    <xf numFmtId="38" fontId="2" fillId="0" borderId="0" xfId="49" applyFont="1" applyAlignment="1">
      <alignment/>
    </xf>
    <xf numFmtId="0" fontId="14" fillId="0" borderId="0" xfId="0" applyFont="1" applyAlignment="1">
      <alignment horizontal="center"/>
    </xf>
    <xf numFmtId="0" fontId="7" fillId="0" borderId="0" xfId="0" applyFont="1" applyAlignment="1">
      <alignment horizontal="center"/>
    </xf>
    <xf numFmtId="0" fontId="0" fillId="0" borderId="0" xfId="0" applyFont="1" applyBorder="1" applyAlignment="1">
      <alignment horizontal="left" vertical="center" wrapText="1"/>
    </xf>
    <xf numFmtId="0" fontId="0" fillId="0" borderId="0" xfId="0" applyFont="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0" xfId="0" applyFont="1" applyFill="1" applyBorder="1" applyAlignment="1">
      <alignment horizontal="center" vertical="center"/>
    </xf>
    <xf numFmtId="0" fontId="0" fillId="0" borderId="12" xfId="0" applyFont="1" applyBorder="1" applyAlignment="1">
      <alignment horizontal="center" vertical="center"/>
    </xf>
    <xf numFmtId="38" fontId="0" fillId="0" borderId="24" xfId="49" applyFont="1" applyBorder="1" applyAlignment="1">
      <alignment horizontal="center" vertical="center"/>
    </xf>
    <xf numFmtId="0" fontId="0" fillId="0" borderId="13" xfId="0" applyFont="1" applyFill="1" applyBorder="1" applyAlignment="1">
      <alignment horizontal="center" vertical="center"/>
    </xf>
    <xf numFmtId="0" fontId="4" fillId="0" borderId="36" xfId="0" applyFont="1" applyBorder="1" applyAlignment="1">
      <alignment horizontal="center" vertical="center"/>
    </xf>
    <xf numFmtId="38" fontId="14" fillId="0" borderId="0" xfId="49" applyFont="1" applyAlignment="1">
      <alignment horizontal="center"/>
    </xf>
    <xf numFmtId="38" fontId="14" fillId="0" borderId="0" xfId="49"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xf>
    <xf numFmtId="0" fontId="0" fillId="0" borderId="0" xfId="0" applyFont="1" applyBorder="1" applyAlignment="1">
      <alignment horizontal="center" vertical="center" wrapText="1"/>
    </xf>
    <xf numFmtId="183" fontId="3" fillId="0" borderId="0" xfId="0" applyNumberFormat="1" applyFont="1" applyBorder="1" applyAlignment="1">
      <alignment vertical="center"/>
    </xf>
    <xf numFmtId="183" fontId="0" fillId="0" borderId="0" xfId="0" applyNumberFormat="1" applyFont="1" applyBorder="1" applyAlignment="1">
      <alignment vertical="center"/>
    </xf>
    <xf numFmtId="0" fontId="9" fillId="0" borderId="37" xfId="0" applyFont="1" applyBorder="1" applyAlignment="1">
      <alignment horizontal="center" vertical="center"/>
    </xf>
    <xf numFmtId="38" fontId="4" fillId="0" borderId="31" xfId="49" applyFont="1" applyBorder="1" applyAlignment="1">
      <alignment horizontal="center" vertical="center" wrapText="1"/>
    </xf>
    <xf numFmtId="38" fontId="2" fillId="0" borderId="24" xfId="49"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38" fontId="0" fillId="0" borderId="12" xfId="49" applyFont="1" applyBorder="1" applyAlignment="1">
      <alignment vertical="center"/>
    </xf>
    <xf numFmtId="199" fontId="0" fillId="0" borderId="12" xfId="42" applyNumberFormat="1" applyFont="1" applyBorder="1" applyAlignment="1">
      <alignment vertical="center"/>
    </xf>
    <xf numFmtId="183" fontId="0" fillId="0" borderId="18" xfId="0" applyNumberFormat="1" applyBorder="1" applyAlignment="1">
      <alignment vertical="center"/>
    </xf>
    <xf numFmtId="183" fontId="0" fillId="0" borderId="26" xfId="0" applyNumberFormat="1" applyBorder="1" applyAlignment="1">
      <alignment vertical="center"/>
    </xf>
    <xf numFmtId="0" fontId="0" fillId="0" borderId="18" xfId="0" applyBorder="1" applyAlignment="1">
      <alignment vertical="center"/>
    </xf>
    <xf numFmtId="183" fontId="0" fillId="0" borderId="12" xfId="0" applyNumberFormat="1" applyBorder="1" applyAlignment="1">
      <alignment vertical="center"/>
    </xf>
    <xf numFmtId="183" fontId="0" fillId="0" borderId="11" xfId="0" applyNumberFormat="1" applyBorder="1" applyAlignment="1">
      <alignment vertical="center"/>
    </xf>
    <xf numFmtId="0" fontId="0" fillId="0" borderId="11" xfId="0" applyFont="1" applyBorder="1" applyAlignment="1">
      <alignment horizontal="center" vertical="center"/>
    </xf>
    <xf numFmtId="199" fontId="0" fillId="0" borderId="12" xfId="42" applyNumberFormat="1"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3" fillId="0" borderId="0" xfId="0" applyFont="1" applyAlignment="1">
      <alignment horizontal="right"/>
    </xf>
    <xf numFmtId="0" fontId="3" fillId="0" borderId="10"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right"/>
    </xf>
    <xf numFmtId="0" fontId="0" fillId="0" borderId="21" xfId="0" applyFont="1" applyBorder="1" applyAlignment="1">
      <alignment horizontal="center" vertical="center"/>
    </xf>
    <xf numFmtId="0" fontId="0" fillId="0" borderId="17" xfId="0" applyFont="1" applyBorder="1" applyAlignment="1">
      <alignment horizontal="center" vertical="center"/>
    </xf>
    <xf numFmtId="38" fontId="0" fillId="0" borderId="17" xfId="49" applyFont="1" applyBorder="1" applyAlignment="1">
      <alignment vertical="center"/>
    </xf>
    <xf numFmtId="183" fontId="0" fillId="0" borderId="17" xfId="0" applyNumberFormat="1" applyFont="1" applyBorder="1" applyAlignment="1">
      <alignment vertical="center"/>
    </xf>
    <xf numFmtId="0" fontId="0" fillId="0" borderId="21" xfId="0" applyFont="1" applyBorder="1" applyAlignment="1">
      <alignment vertical="center"/>
    </xf>
    <xf numFmtId="0" fontId="0" fillId="0" borderId="0" xfId="0" applyFont="1" applyBorder="1" applyAlignment="1">
      <alignment/>
    </xf>
    <xf numFmtId="0" fontId="4" fillId="0" borderId="0" xfId="0" applyFont="1" applyFill="1" applyAlignment="1">
      <alignment vertical="top"/>
    </xf>
    <xf numFmtId="38" fontId="3" fillId="0" borderId="12" xfId="49" applyFont="1" applyBorder="1" applyAlignment="1">
      <alignment/>
    </xf>
    <xf numFmtId="0" fontId="3" fillId="0" borderId="12" xfId="0" applyFont="1" applyBorder="1" applyAlignment="1">
      <alignment/>
    </xf>
    <xf numFmtId="38" fontId="3" fillId="0" borderId="12" xfId="0" applyNumberFormat="1" applyFont="1" applyBorder="1" applyAlignment="1">
      <alignment horizontal="right" vertical="center"/>
    </xf>
    <xf numFmtId="38" fontId="0" fillId="0" borderId="12" xfId="49" applyFont="1" applyBorder="1" applyAlignment="1">
      <alignment/>
    </xf>
    <xf numFmtId="49" fontId="4" fillId="0" borderId="12" xfId="0" applyNumberFormat="1" applyFont="1" applyBorder="1" applyAlignment="1">
      <alignment horizontal="right"/>
    </xf>
    <xf numFmtId="49" fontId="4" fillId="0" borderId="17" xfId="0" applyNumberFormat="1" applyFont="1" applyBorder="1" applyAlignment="1">
      <alignment horizontal="right"/>
    </xf>
    <xf numFmtId="38" fontId="3" fillId="0" borderId="18" xfId="49" applyFont="1" applyBorder="1" applyAlignment="1">
      <alignment/>
    </xf>
    <xf numFmtId="0" fontId="3" fillId="0" borderId="18" xfId="0" applyFont="1"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0" fillId="0" borderId="33" xfId="0" applyFont="1" applyBorder="1" applyAlignment="1">
      <alignment/>
    </xf>
    <xf numFmtId="38" fontId="0" fillId="0" borderId="38" xfId="49" applyFont="1" applyBorder="1" applyAlignment="1">
      <alignment/>
    </xf>
    <xf numFmtId="38" fontId="0" fillId="0" borderId="39" xfId="49" applyFont="1" applyBorder="1" applyAlignment="1">
      <alignment/>
    </xf>
    <xf numFmtId="0" fontId="0" fillId="0" borderId="13" xfId="0" applyFont="1" applyBorder="1" applyAlignment="1">
      <alignment horizontal="center" vertical="center"/>
    </xf>
    <xf numFmtId="38" fontId="0" fillId="0" borderId="13" xfId="49" applyFont="1" applyBorder="1" applyAlignment="1">
      <alignment vertical="center"/>
    </xf>
    <xf numFmtId="0" fontId="4" fillId="0" borderId="40" xfId="0" applyFont="1" applyFill="1" applyBorder="1" applyAlignment="1">
      <alignment/>
    </xf>
    <xf numFmtId="0" fontId="4" fillId="0" borderId="0" xfId="0" applyFont="1" applyFill="1" applyBorder="1" applyAlignment="1">
      <alignment/>
    </xf>
    <xf numFmtId="38" fontId="0" fillId="0" borderId="12" xfId="49" applyFont="1" applyBorder="1" applyAlignment="1">
      <alignment horizontal="right" vertical="center"/>
    </xf>
    <xf numFmtId="40" fontId="0" fillId="0" borderId="18" xfId="49" applyNumberFormat="1" applyFont="1" applyBorder="1" applyAlignment="1">
      <alignment horizontal="right" vertical="center"/>
    </xf>
    <xf numFmtId="40" fontId="0" fillId="0" borderId="18" xfId="49" applyNumberFormat="1" applyFont="1" applyBorder="1" applyAlignment="1">
      <alignment vertical="center"/>
    </xf>
    <xf numFmtId="38" fontId="0" fillId="0" borderId="17" xfId="49" applyFont="1" applyBorder="1" applyAlignment="1">
      <alignment horizontal="right" vertical="center"/>
    </xf>
    <xf numFmtId="40" fontId="0" fillId="0" borderId="34" xfId="49" applyNumberFormat="1" applyFont="1" applyBorder="1" applyAlignment="1">
      <alignment vertical="center"/>
    </xf>
    <xf numFmtId="0" fontId="0" fillId="0" borderId="11" xfId="0" applyFont="1" applyBorder="1" applyAlignment="1">
      <alignment horizontal="distributed" vertical="center"/>
    </xf>
    <xf numFmtId="38" fontId="0" fillId="0" borderId="12" xfId="49" applyFont="1" applyFill="1" applyBorder="1" applyAlignment="1">
      <alignment vertical="center"/>
    </xf>
    <xf numFmtId="203" fontId="0" fillId="0" borderId="12" xfId="0" applyNumberFormat="1" applyFont="1" applyBorder="1" applyAlignment="1">
      <alignment vertical="center"/>
    </xf>
    <xf numFmtId="183" fontId="0" fillId="0" borderId="12" xfId="0" applyNumberFormat="1" applyFont="1" applyBorder="1" applyAlignment="1">
      <alignment vertical="center"/>
    </xf>
    <xf numFmtId="183" fontId="0" fillId="0" borderId="18" xfId="0" applyNumberFormat="1" applyFont="1" applyBorder="1" applyAlignment="1">
      <alignment vertical="center"/>
    </xf>
    <xf numFmtId="38" fontId="3" fillId="0" borderId="12" xfId="49" applyFont="1" applyBorder="1" applyAlignment="1">
      <alignment vertical="center"/>
    </xf>
    <xf numFmtId="38" fontId="3" fillId="0" borderId="12" xfId="49" applyFont="1" applyFill="1" applyBorder="1" applyAlignment="1">
      <alignment vertical="center"/>
    </xf>
    <xf numFmtId="203" fontId="3" fillId="0" borderId="12" xfId="0" applyNumberFormat="1" applyFont="1" applyBorder="1" applyAlignment="1">
      <alignment vertical="center"/>
    </xf>
    <xf numFmtId="183" fontId="3" fillId="0" borderId="12" xfId="0" applyNumberFormat="1" applyFont="1" applyBorder="1" applyAlignment="1">
      <alignment vertical="center"/>
    </xf>
    <xf numFmtId="183" fontId="3" fillId="0" borderId="18" xfId="0" applyNumberFormat="1" applyFont="1" applyBorder="1" applyAlignment="1">
      <alignment vertical="center"/>
    </xf>
    <xf numFmtId="0" fontId="0" fillId="0" borderId="0" xfId="0" applyFont="1" applyBorder="1" applyAlignment="1">
      <alignment horizontal="distributed" vertical="center"/>
    </xf>
    <xf numFmtId="38" fontId="0" fillId="0" borderId="41" xfId="49" applyFont="1" applyBorder="1" applyAlignment="1">
      <alignment vertical="center"/>
    </xf>
    <xf numFmtId="38" fontId="0" fillId="0" borderId="42" xfId="49" applyFont="1" applyBorder="1" applyAlignment="1">
      <alignment vertical="center"/>
    </xf>
    <xf numFmtId="38" fontId="0" fillId="0" borderId="41" xfId="49" applyFont="1" applyFill="1" applyBorder="1" applyAlignment="1">
      <alignment vertical="center"/>
    </xf>
    <xf numFmtId="203" fontId="0" fillId="0" borderId="41" xfId="0" applyNumberFormat="1" applyFont="1" applyBorder="1" applyAlignment="1">
      <alignment vertical="center"/>
    </xf>
    <xf numFmtId="183" fontId="0" fillId="0" borderId="41" xfId="0" applyNumberFormat="1" applyFont="1" applyBorder="1" applyAlignment="1">
      <alignment vertical="center"/>
    </xf>
    <xf numFmtId="183" fontId="0" fillId="0" borderId="43" xfId="0" applyNumberFormat="1" applyFont="1" applyBorder="1" applyAlignment="1">
      <alignment vertical="center"/>
    </xf>
    <xf numFmtId="0" fontId="0" fillId="0" borderId="0" xfId="0" applyFont="1" applyBorder="1" applyAlignment="1">
      <alignment horizontal="center" vertical="center" textRotation="255"/>
    </xf>
    <xf numFmtId="38" fontId="0" fillId="0" borderId="26" xfId="49" applyFont="1" applyBorder="1" applyAlignment="1">
      <alignment vertical="center"/>
    </xf>
    <xf numFmtId="38" fontId="0" fillId="0" borderId="44" xfId="49" applyFont="1" applyBorder="1" applyAlignment="1">
      <alignment vertical="center"/>
    </xf>
    <xf numFmtId="38" fontId="0" fillId="0" borderId="26" xfId="49" applyFont="1" applyFill="1" applyBorder="1" applyAlignment="1">
      <alignment vertical="center"/>
    </xf>
    <xf numFmtId="203" fontId="0" fillId="0" borderId="26" xfId="0" applyNumberFormat="1" applyFont="1" applyBorder="1" applyAlignment="1">
      <alignment vertical="center"/>
    </xf>
    <xf numFmtId="183" fontId="0" fillId="0" borderId="26" xfId="0" applyNumberFormat="1" applyFont="1" applyBorder="1" applyAlignment="1">
      <alignment vertical="center"/>
    </xf>
    <xf numFmtId="183" fontId="0" fillId="0" borderId="45" xfId="0" applyNumberFormat="1" applyFont="1" applyBorder="1" applyAlignment="1">
      <alignment vertical="center"/>
    </xf>
    <xf numFmtId="0" fontId="0" fillId="0" borderId="46" xfId="0" applyFont="1" applyBorder="1" applyAlignment="1">
      <alignment horizontal="center" vertical="distributed" textRotation="255"/>
    </xf>
    <xf numFmtId="0" fontId="0" fillId="0" borderId="32" xfId="0" applyFont="1" applyBorder="1" applyAlignment="1">
      <alignment horizontal="distributed" vertical="center"/>
    </xf>
    <xf numFmtId="38" fontId="0" fillId="0" borderId="13" xfId="49" applyFont="1" applyFill="1" applyBorder="1" applyAlignment="1">
      <alignment vertical="center"/>
    </xf>
    <xf numFmtId="203" fontId="0" fillId="0" borderId="13" xfId="0" applyNumberFormat="1" applyFont="1" applyBorder="1" applyAlignment="1">
      <alignment vertical="center"/>
    </xf>
    <xf numFmtId="183" fontId="0" fillId="0" borderId="33" xfId="0" applyNumberFormat="1" applyFont="1" applyBorder="1" applyAlignment="1">
      <alignment vertical="center"/>
    </xf>
    <xf numFmtId="0" fontId="0" fillId="0" borderId="47" xfId="0" applyFont="1" applyBorder="1" applyAlignment="1">
      <alignment horizontal="distributed" vertical="center"/>
    </xf>
    <xf numFmtId="38" fontId="0" fillId="0" borderId="48" xfId="49" applyFont="1" applyFill="1" applyBorder="1" applyAlignment="1">
      <alignment vertical="center"/>
    </xf>
    <xf numFmtId="203" fontId="0" fillId="0" borderId="48" xfId="0" applyNumberFormat="1" applyFont="1" applyBorder="1" applyAlignment="1">
      <alignment vertical="center"/>
    </xf>
    <xf numFmtId="183" fontId="0" fillId="0" borderId="48" xfId="0" applyNumberFormat="1" applyFont="1" applyBorder="1" applyAlignment="1">
      <alignment vertical="center"/>
    </xf>
    <xf numFmtId="183" fontId="0" fillId="0" borderId="49" xfId="0" applyNumberFormat="1" applyFont="1" applyBorder="1" applyAlignment="1">
      <alignment vertical="center"/>
    </xf>
    <xf numFmtId="183" fontId="0" fillId="0" borderId="15" xfId="0" applyNumberFormat="1" applyFont="1" applyBorder="1" applyAlignment="1">
      <alignment vertical="center"/>
    </xf>
    <xf numFmtId="183" fontId="0" fillId="0" borderId="50" xfId="0" applyNumberFormat="1" applyFont="1" applyBorder="1" applyAlignment="1">
      <alignment vertical="center"/>
    </xf>
    <xf numFmtId="183" fontId="0" fillId="0" borderId="11" xfId="0" applyNumberFormat="1" applyFont="1" applyBorder="1" applyAlignment="1">
      <alignment vertical="center"/>
    </xf>
    <xf numFmtId="183" fontId="0" fillId="0" borderId="13" xfId="0" applyNumberFormat="1" applyFont="1" applyBorder="1" applyAlignment="1">
      <alignment vertical="center"/>
    </xf>
    <xf numFmtId="38" fontId="0" fillId="0" borderId="48" xfId="49" applyFont="1" applyBorder="1" applyAlignment="1">
      <alignment vertical="center"/>
    </xf>
    <xf numFmtId="183" fontId="0" fillId="0" borderId="47" xfId="0" applyNumberFormat="1" applyFont="1" applyBorder="1" applyAlignment="1">
      <alignment vertical="center"/>
    </xf>
    <xf numFmtId="183" fontId="0" fillId="0" borderId="51" xfId="0" applyNumberFormat="1" applyFont="1" applyBorder="1" applyAlignment="1">
      <alignment vertical="center"/>
    </xf>
    <xf numFmtId="183" fontId="0" fillId="0" borderId="52" xfId="0" applyNumberFormat="1" applyFont="1" applyBorder="1" applyAlignment="1">
      <alignment vertical="center"/>
    </xf>
    <xf numFmtId="183" fontId="0" fillId="0" borderId="46" xfId="0" applyNumberFormat="1" applyFont="1" applyBorder="1" applyAlignment="1">
      <alignment vertical="center"/>
    </xf>
    <xf numFmtId="38" fontId="0" fillId="0" borderId="12" xfId="0" applyNumberFormat="1" applyFont="1" applyBorder="1" applyAlignment="1">
      <alignment vertical="center"/>
    </xf>
    <xf numFmtId="0" fontId="0" fillId="0" borderId="18" xfId="0" applyFont="1" applyBorder="1" applyAlignment="1">
      <alignment/>
    </xf>
    <xf numFmtId="0" fontId="0" fillId="0" borderId="0" xfId="0" applyFont="1" applyBorder="1" applyAlignment="1">
      <alignment horizontal="distributed" vertical="center" textRotation="255"/>
    </xf>
    <xf numFmtId="0" fontId="0" fillId="0" borderId="49" xfId="0" applyFont="1" applyBorder="1" applyAlignment="1">
      <alignment/>
    </xf>
    <xf numFmtId="203" fontId="0" fillId="0" borderId="13" xfId="49" applyNumberFormat="1" applyFont="1" applyBorder="1" applyAlignment="1">
      <alignment vertical="center"/>
    </xf>
    <xf numFmtId="0" fontId="0" fillId="0" borderId="0" xfId="0" applyFont="1" applyBorder="1" applyAlignment="1">
      <alignment horizontal="center" vertical="distributed" textRotation="255"/>
    </xf>
    <xf numFmtId="183" fontId="0" fillId="0" borderId="53" xfId="0" applyNumberFormat="1" applyFont="1" applyBorder="1" applyAlignment="1">
      <alignment vertical="center"/>
    </xf>
    <xf numFmtId="38" fontId="0" fillId="0" borderId="32" xfId="0" applyNumberFormat="1" applyFont="1" applyBorder="1" applyAlignment="1">
      <alignment horizontal="right" vertical="distributed"/>
    </xf>
    <xf numFmtId="203" fontId="0" fillId="0" borderId="13" xfId="49" applyNumberFormat="1" applyFont="1" applyFill="1" applyBorder="1" applyAlignment="1">
      <alignment vertical="center"/>
    </xf>
    <xf numFmtId="38" fontId="0" fillId="0" borderId="14" xfId="49" applyFont="1" applyBorder="1" applyAlignment="1">
      <alignment vertical="center"/>
    </xf>
    <xf numFmtId="38" fontId="0" fillId="0" borderId="14" xfId="49" applyFont="1" applyFill="1" applyBorder="1" applyAlignment="1">
      <alignment vertical="center"/>
    </xf>
    <xf numFmtId="203" fontId="0" fillId="0" borderId="14" xfId="0" applyNumberFormat="1" applyFont="1" applyBorder="1" applyAlignment="1">
      <alignment vertical="center"/>
    </xf>
    <xf numFmtId="183" fontId="0" fillId="0" borderId="38" xfId="0" applyNumberFormat="1" applyFont="1" applyBorder="1" applyAlignment="1">
      <alignment vertical="center"/>
    </xf>
    <xf numFmtId="38" fontId="0" fillId="0" borderId="54" xfId="0" applyNumberFormat="1" applyFont="1" applyBorder="1" applyAlignment="1">
      <alignment vertical="center"/>
    </xf>
    <xf numFmtId="38" fontId="0" fillId="0" borderId="55" xfId="49" applyFont="1" applyFill="1" applyBorder="1" applyAlignment="1">
      <alignment vertical="center"/>
    </xf>
    <xf numFmtId="38" fontId="0" fillId="0" borderId="55" xfId="49" applyFont="1" applyBorder="1" applyAlignment="1">
      <alignment vertical="center"/>
    </xf>
    <xf numFmtId="203" fontId="0" fillId="0" borderId="55" xfId="49" applyNumberFormat="1" applyFont="1" applyFill="1" applyBorder="1" applyAlignment="1">
      <alignment vertical="center"/>
    </xf>
    <xf numFmtId="183" fontId="0" fillId="0" borderId="55" xfId="0" applyNumberFormat="1" applyFont="1" applyBorder="1" applyAlignment="1">
      <alignment vertical="center"/>
    </xf>
    <xf numFmtId="183" fontId="0" fillId="0" borderId="56" xfId="0" applyNumberFormat="1" applyFont="1" applyBorder="1" applyAlignment="1">
      <alignment vertical="center"/>
    </xf>
    <xf numFmtId="183" fontId="0" fillId="0" borderId="14" xfId="0" applyNumberFormat="1" applyFont="1" applyBorder="1" applyAlignment="1">
      <alignment vertical="center"/>
    </xf>
    <xf numFmtId="38" fontId="0" fillId="0" borderId="57" xfId="49" applyFont="1" applyBorder="1" applyAlignment="1">
      <alignment vertical="center"/>
    </xf>
    <xf numFmtId="38" fontId="0" fillId="0" borderId="57" xfId="49" applyFont="1" applyFill="1" applyBorder="1" applyAlignment="1">
      <alignment vertical="center"/>
    </xf>
    <xf numFmtId="203" fontId="0" fillId="0" borderId="57" xfId="0" applyNumberFormat="1" applyFont="1" applyBorder="1" applyAlignment="1">
      <alignment vertical="center"/>
    </xf>
    <xf numFmtId="183" fontId="0" fillId="0" borderId="57" xfId="0" applyNumberFormat="1" applyFont="1" applyBorder="1" applyAlignment="1">
      <alignment vertical="center"/>
    </xf>
    <xf numFmtId="183" fontId="0" fillId="0" borderId="58" xfId="0" applyNumberFormat="1" applyFont="1" applyBorder="1" applyAlignment="1">
      <alignment vertical="center"/>
    </xf>
    <xf numFmtId="203" fontId="0" fillId="0" borderId="0" xfId="0" applyNumberFormat="1" applyFont="1" applyAlignment="1">
      <alignment/>
    </xf>
    <xf numFmtId="191" fontId="4" fillId="0" borderId="26" xfId="0" applyNumberFormat="1" applyFont="1" applyFill="1" applyBorder="1" applyAlignment="1">
      <alignment horizontal="right" vertical="center"/>
    </xf>
    <xf numFmtId="191" fontId="10" fillId="0" borderId="26" xfId="0" applyNumberFormat="1" applyFont="1" applyFill="1" applyBorder="1" applyAlignment="1">
      <alignment horizontal="right" vertical="center"/>
    </xf>
    <xf numFmtId="191" fontId="10" fillId="0" borderId="50" xfId="0" applyNumberFormat="1" applyFont="1" applyFill="1" applyBorder="1" applyAlignment="1">
      <alignment horizontal="right" vertical="center"/>
    </xf>
    <xf numFmtId="191" fontId="10" fillId="0" borderId="12" xfId="0" applyNumberFormat="1" applyFont="1" applyFill="1" applyBorder="1" applyAlignment="1">
      <alignment/>
    </xf>
    <xf numFmtId="191" fontId="10" fillId="0" borderId="0" xfId="0" applyNumberFormat="1" applyFont="1" applyFill="1" applyBorder="1" applyAlignment="1">
      <alignment/>
    </xf>
    <xf numFmtId="191" fontId="4" fillId="0" borderId="12" xfId="0" applyNumberFormat="1" applyFont="1" applyFill="1" applyBorder="1" applyAlignment="1">
      <alignment horizontal="right" vertical="center"/>
    </xf>
    <xf numFmtId="201" fontId="4" fillId="0" borderId="12" xfId="61" applyNumberFormat="1" applyFont="1" applyFill="1" applyBorder="1" applyAlignment="1" quotePrefix="1">
      <alignment horizontal="right" vertical="top"/>
      <protection/>
    </xf>
    <xf numFmtId="201" fontId="4" fillId="0" borderId="0" xfId="61" applyNumberFormat="1" applyFont="1" applyFill="1" applyBorder="1" applyAlignment="1" quotePrefix="1">
      <alignment horizontal="right" vertical="top"/>
      <protection/>
    </xf>
    <xf numFmtId="191" fontId="4" fillId="0" borderId="12" xfId="0" applyNumberFormat="1" applyFont="1" applyFill="1" applyBorder="1" applyAlignment="1">
      <alignment/>
    </xf>
    <xf numFmtId="191" fontId="10" fillId="0" borderId="12" xfId="0" applyNumberFormat="1" applyFont="1" applyFill="1" applyBorder="1" applyAlignment="1">
      <alignment horizontal="right" vertical="center"/>
    </xf>
    <xf numFmtId="191" fontId="10" fillId="0" borderId="0" xfId="0" applyNumberFormat="1" applyFont="1" applyFill="1" applyBorder="1" applyAlignment="1">
      <alignment horizontal="right" vertical="center"/>
    </xf>
    <xf numFmtId="191" fontId="10" fillId="0" borderId="18" xfId="0" applyNumberFormat="1" applyFont="1" applyFill="1" applyBorder="1" applyAlignment="1">
      <alignment horizontal="right" vertical="center"/>
    </xf>
    <xf numFmtId="191" fontId="10" fillId="0" borderId="12" xfId="0" applyNumberFormat="1" applyFont="1" applyFill="1" applyBorder="1" applyAlignment="1">
      <alignment horizontal="right"/>
    </xf>
    <xf numFmtId="191" fontId="10" fillId="0" borderId="0" xfId="0" applyNumberFormat="1" applyFont="1" applyFill="1" applyAlignment="1">
      <alignment/>
    </xf>
    <xf numFmtId="191" fontId="4" fillId="0" borderId="12" xfId="0" applyNumberFormat="1" applyFont="1" applyFill="1" applyBorder="1" applyAlignment="1">
      <alignment horizontal="right"/>
    </xf>
    <xf numFmtId="191" fontId="4" fillId="0" borderId="18" xfId="0" applyNumberFormat="1" applyFont="1" applyFill="1" applyBorder="1" applyAlignment="1">
      <alignment horizontal="right"/>
    </xf>
    <xf numFmtId="191" fontId="4" fillId="0" borderId="12" xfId="0" applyNumberFormat="1" applyFont="1" applyBorder="1" applyAlignment="1">
      <alignment/>
    </xf>
    <xf numFmtId="191" fontId="4" fillId="0" borderId="0" xfId="0" applyNumberFormat="1" applyFont="1" applyFill="1" applyBorder="1" applyAlignment="1">
      <alignment/>
    </xf>
    <xf numFmtId="191" fontId="4" fillId="0" borderId="18" xfId="0" applyNumberFormat="1" applyFont="1" applyFill="1" applyBorder="1" applyAlignment="1">
      <alignment/>
    </xf>
    <xf numFmtId="191" fontId="4" fillId="0" borderId="0" xfId="0" applyNumberFormat="1" applyFont="1" applyFill="1" applyBorder="1" applyAlignment="1">
      <alignment horizontal="right" vertical="center"/>
    </xf>
    <xf numFmtId="191" fontId="4" fillId="0" borderId="18" xfId="0" applyNumberFormat="1" applyFont="1" applyFill="1" applyBorder="1" applyAlignment="1">
      <alignment horizontal="right" vertical="center"/>
    </xf>
    <xf numFmtId="191" fontId="10" fillId="0" borderId="20" xfId="0" applyNumberFormat="1" applyFont="1" applyFill="1" applyBorder="1" applyAlignment="1">
      <alignment/>
    </xf>
    <xf numFmtId="0" fontId="0" fillId="0" borderId="21" xfId="0" applyFont="1" applyBorder="1" applyAlignment="1">
      <alignment/>
    </xf>
    <xf numFmtId="0" fontId="0" fillId="0" borderId="17" xfId="0" applyFont="1" applyBorder="1" applyAlignment="1">
      <alignment/>
    </xf>
    <xf numFmtId="0" fontId="0" fillId="0" borderId="35" xfId="0" applyFont="1" applyBorder="1" applyAlignment="1">
      <alignment/>
    </xf>
    <xf numFmtId="192" fontId="4" fillId="33" borderId="12" xfId="0" applyNumberFormat="1" applyFont="1" applyFill="1" applyBorder="1" applyAlignment="1">
      <alignment horizontal="right" vertical="center"/>
    </xf>
    <xf numFmtId="192" fontId="4" fillId="33" borderId="0" xfId="0" applyNumberFormat="1" applyFont="1" applyFill="1" applyBorder="1" applyAlignment="1">
      <alignment horizontal="right" vertical="center"/>
    </xf>
    <xf numFmtId="192" fontId="4" fillId="33" borderId="18" xfId="0" applyNumberFormat="1" applyFont="1" applyFill="1" applyBorder="1" applyAlignment="1">
      <alignment horizontal="right" vertical="center"/>
    </xf>
    <xf numFmtId="192" fontId="4" fillId="33" borderId="17" xfId="0" applyNumberFormat="1" applyFont="1" applyFill="1" applyBorder="1" applyAlignment="1">
      <alignment horizontal="right" vertical="center"/>
    </xf>
    <xf numFmtId="192" fontId="4" fillId="33" borderId="21" xfId="0" applyNumberFormat="1" applyFont="1" applyFill="1" applyBorder="1" applyAlignment="1">
      <alignment horizontal="right" vertical="center"/>
    </xf>
    <xf numFmtId="192" fontId="4" fillId="33" borderId="34" xfId="0" applyNumberFormat="1" applyFont="1" applyFill="1" applyBorder="1" applyAlignment="1">
      <alignment horizontal="right" vertical="center"/>
    </xf>
    <xf numFmtId="0" fontId="0" fillId="0" borderId="10" xfId="0" applyFont="1" applyBorder="1" applyAlignment="1">
      <alignment/>
    </xf>
    <xf numFmtId="0" fontId="0" fillId="0" borderId="20" xfId="0" applyFont="1" applyBorder="1" applyAlignment="1">
      <alignment horizontal="center"/>
    </xf>
    <xf numFmtId="205" fontId="0" fillId="0" borderId="15" xfId="0" applyNumberFormat="1" applyFont="1" applyFill="1" applyBorder="1" applyAlignment="1">
      <alignment vertical="center"/>
    </xf>
    <xf numFmtId="0" fontId="0" fillId="0" borderId="26" xfId="0" applyFont="1" applyBorder="1" applyAlignment="1">
      <alignment/>
    </xf>
    <xf numFmtId="196" fontId="0" fillId="0" borderId="26" xfId="0" applyNumberFormat="1" applyFont="1" applyBorder="1" applyAlignment="1">
      <alignment vertical="center"/>
    </xf>
    <xf numFmtId="43" fontId="0" fillId="0" borderId="26" xfId="0" applyNumberFormat="1" applyFont="1" applyBorder="1" applyAlignment="1">
      <alignment vertical="center"/>
    </xf>
    <xf numFmtId="0" fontId="0" fillId="0" borderId="45" xfId="0" applyFont="1" applyBorder="1" applyAlignment="1">
      <alignment/>
    </xf>
    <xf numFmtId="205" fontId="0" fillId="0" borderId="11" xfId="0" applyNumberFormat="1" applyFont="1" applyFill="1" applyBorder="1" applyAlignment="1">
      <alignment vertical="center"/>
    </xf>
    <xf numFmtId="0" fontId="0" fillId="0" borderId="12" xfId="0" applyFont="1" applyBorder="1" applyAlignment="1">
      <alignment/>
    </xf>
    <xf numFmtId="196" fontId="0" fillId="0" borderId="12" xfId="0" applyNumberFormat="1" applyFont="1" applyBorder="1" applyAlignment="1">
      <alignment vertical="center"/>
    </xf>
    <xf numFmtId="43" fontId="0" fillId="0" borderId="12" xfId="0" applyNumberFormat="1" applyFont="1" applyBorder="1" applyAlignment="1">
      <alignment vertical="center"/>
    </xf>
    <xf numFmtId="0" fontId="0" fillId="0" borderId="20" xfId="0" applyFont="1" applyBorder="1" applyAlignment="1">
      <alignment/>
    </xf>
    <xf numFmtId="205" fontId="0" fillId="0" borderId="28" xfId="0" applyNumberFormat="1" applyFont="1" applyFill="1" applyBorder="1" applyAlignment="1">
      <alignment vertical="center"/>
    </xf>
    <xf numFmtId="0" fontId="0" fillId="0" borderId="12" xfId="0" applyFont="1" applyBorder="1" applyAlignment="1">
      <alignment vertical="center"/>
    </xf>
    <xf numFmtId="183" fontId="0" fillId="0" borderId="12" xfId="49" applyNumberFormat="1" applyFont="1" applyFill="1" applyBorder="1" applyAlignment="1">
      <alignment vertical="center"/>
    </xf>
    <xf numFmtId="0" fontId="0" fillId="0" borderId="18" xfId="0" applyFont="1" applyBorder="1" applyAlignment="1">
      <alignment vertical="center"/>
    </xf>
    <xf numFmtId="202" fontId="0" fillId="0" borderId="12" xfId="49" applyNumberFormat="1" applyFont="1" applyFill="1" applyBorder="1" applyAlignment="1">
      <alignment vertical="center"/>
    </xf>
    <xf numFmtId="187" fontId="0" fillId="0" borderId="18" xfId="49" applyNumberFormat="1" applyFont="1" applyFill="1" applyBorder="1" applyAlignment="1">
      <alignment vertical="center"/>
    </xf>
    <xf numFmtId="191" fontId="0" fillId="0" borderId="18" xfId="49" applyNumberFormat="1" applyFont="1" applyFill="1" applyBorder="1" applyAlignment="1">
      <alignment vertical="center"/>
    </xf>
    <xf numFmtId="2" fontId="0" fillId="0" borderId="12" xfId="0" applyNumberFormat="1" applyFont="1" applyBorder="1" applyAlignment="1">
      <alignment vertical="center"/>
    </xf>
    <xf numFmtId="0" fontId="0" fillId="0" borderId="0" xfId="0" applyFont="1" applyFill="1" applyBorder="1" applyAlignment="1">
      <alignment vertical="center"/>
    </xf>
    <xf numFmtId="205" fontId="0" fillId="0" borderId="59" xfId="0" applyNumberFormat="1" applyFont="1" applyFill="1" applyBorder="1" applyAlignment="1">
      <alignment vertical="center"/>
    </xf>
    <xf numFmtId="205" fontId="3" fillId="0" borderId="60" xfId="0" applyNumberFormat="1" applyFont="1" applyFill="1" applyBorder="1" applyAlignment="1">
      <alignment vertical="center"/>
    </xf>
    <xf numFmtId="0" fontId="3" fillId="0" borderId="14" xfId="0" applyFont="1" applyBorder="1" applyAlignment="1">
      <alignment vertical="center"/>
    </xf>
    <xf numFmtId="183" fontId="3" fillId="0" borderId="14" xfId="49" applyNumberFormat="1" applyFont="1" applyFill="1" applyBorder="1" applyAlignment="1">
      <alignment vertical="center"/>
    </xf>
    <xf numFmtId="202" fontId="3" fillId="0" borderId="14" xfId="49" applyNumberFormat="1" applyFont="1" applyFill="1" applyBorder="1" applyAlignment="1">
      <alignment vertical="center"/>
    </xf>
    <xf numFmtId="187" fontId="3" fillId="0" borderId="14" xfId="49" applyNumberFormat="1" applyFont="1" applyFill="1" applyBorder="1" applyAlignment="1">
      <alignment vertical="center"/>
    </xf>
    <xf numFmtId="191" fontId="3" fillId="0" borderId="14" xfId="49" applyNumberFormat="1" applyFont="1" applyFill="1" applyBorder="1" applyAlignment="1">
      <alignment vertical="center"/>
    </xf>
    <xf numFmtId="2" fontId="3" fillId="0" borderId="14" xfId="0" applyNumberFormat="1" applyFont="1" applyBorder="1" applyAlignment="1">
      <alignment vertical="center"/>
    </xf>
    <xf numFmtId="0" fontId="3" fillId="0" borderId="38" xfId="0" applyFont="1" applyFill="1" applyBorder="1" applyAlignment="1">
      <alignment vertical="center"/>
    </xf>
    <xf numFmtId="205" fontId="0" fillId="0" borderId="27" xfId="0" applyNumberFormat="1" applyFont="1" applyFill="1" applyBorder="1" applyAlignment="1">
      <alignment vertical="center"/>
    </xf>
    <xf numFmtId="0" fontId="0" fillId="0" borderId="26" xfId="0" applyFont="1" applyBorder="1" applyAlignment="1">
      <alignment vertical="center"/>
    </xf>
    <xf numFmtId="183" fontId="0" fillId="0" borderId="26" xfId="49" applyNumberFormat="1" applyFont="1" applyFill="1" applyBorder="1" applyAlignment="1">
      <alignment vertical="center"/>
    </xf>
    <xf numFmtId="0" fontId="0" fillId="0" borderId="45" xfId="0" applyFont="1" applyBorder="1" applyAlignment="1">
      <alignment vertical="center"/>
    </xf>
    <xf numFmtId="202" fontId="0" fillId="0" borderId="26" xfId="49" applyNumberFormat="1" applyFont="1" applyFill="1" applyBorder="1" applyAlignment="1">
      <alignment vertical="center"/>
    </xf>
    <xf numFmtId="187" fontId="0" fillId="0" borderId="45" xfId="49" applyNumberFormat="1" applyFont="1" applyFill="1" applyBorder="1" applyAlignment="1">
      <alignment vertical="center"/>
    </xf>
    <xf numFmtId="191" fontId="0" fillId="0" borderId="45" xfId="49" applyNumberFormat="1" applyFont="1" applyFill="1" applyBorder="1" applyAlignment="1">
      <alignment vertical="center"/>
    </xf>
    <xf numFmtId="2" fontId="0" fillId="0" borderId="26" xfId="0" applyNumberFormat="1" applyFont="1" applyBorder="1" applyAlignment="1">
      <alignment vertical="center"/>
    </xf>
    <xf numFmtId="0" fontId="0" fillId="0" borderId="50" xfId="0" applyFont="1" applyFill="1" applyBorder="1" applyAlignment="1">
      <alignment vertical="center"/>
    </xf>
    <xf numFmtId="205" fontId="0" fillId="0" borderId="61" xfId="0" applyNumberFormat="1" applyFont="1" applyFill="1" applyBorder="1" applyAlignment="1">
      <alignment vertical="center"/>
    </xf>
    <xf numFmtId="0" fontId="0" fillId="0" borderId="12" xfId="0" applyFont="1" applyFill="1" applyBorder="1" applyAlignment="1">
      <alignment vertical="center"/>
    </xf>
    <xf numFmtId="183" fontId="0" fillId="0" borderId="17" xfId="49" applyNumberFormat="1" applyFont="1" applyFill="1" applyBorder="1" applyAlignment="1">
      <alignment vertical="center"/>
    </xf>
    <xf numFmtId="202" fontId="0" fillId="0" borderId="17" xfId="49" applyNumberFormat="1" applyFont="1" applyFill="1" applyBorder="1" applyAlignment="1">
      <alignment vertical="center"/>
    </xf>
    <xf numFmtId="2" fontId="0" fillId="0" borderId="17" xfId="0" applyNumberFormat="1" applyFont="1" applyBorder="1" applyAlignment="1">
      <alignment vertical="center"/>
    </xf>
    <xf numFmtId="0" fontId="9" fillId="0" borderId="40" xfId="0" applyFont="1" applyFill="1" applyBorder="1" applyAlignment="1">
      <alignment horizontal="left" vertical="center"/>
    </xf>
    <xf numFmtId="0" fontId="0" fillId="0" borderId="40" xfId="0" applyFont="1" applyFill="1" applyBorder="1" applyAlignment="1">
      <alignment/>
    </xf>
    <xf numFmtId="0" fontId="0" fillId="0" borderId="40" xfId="0" applyFont="1" applyBorder="1" applyAlignment="1">
      <alignment/>
    </xf>
    <xf numFmtId="199" fontId="0" fillId="0" borderId="17" xfId="42" applyNumberFormat="1" applyFont="1" applyBorder="1" applyAlignment="1">
      <alignment vertical="center"/>
    </xf>
    <xf numFmtId="1" fontId="0" fillId="0" borderId="45" xfId="0" applyNumberFormat="1" applyFont="1" applyFill="1" applyBorder="1" applyAlignment="1">
      <alignment horizontal="right"/>
    </xf>
    <xf numFmtId="1" fontId="0" fillId="0" borderId="33" xfId="0" applyNumberFormat="1" applyFont="1" applyFill="1" applyBorder="1" applyAlignment="1">
      <alignment horizontal="right"/>
    </xf>
    <xf numFmtId="1" fontId="0" fillId="0" borderId="38" xfId="0" applyNumberFormat="1" applyFont="1" applyFill="1" applyBorder="1" applyAlignment="1">
      <alignment horizontal="right"/>
    </xf>
    <xf numFmtId="206" fontId="0" fillId="0" borderId="26" xfId="0" applyNumberFormat="1" applyFont="1" applyFill="1" applyBorder="1" applyAlignment="1">
      <alignment horizontal="right"/>
    </xf>
    <xf numFmtId="1" fontId="0" fillId="0" borderId="12" xfId="0" applyNumberFormat="1" applyFont="1" applyFill="1" applyBorder="1" applyAlignment="1">
      <alignment horizontal="right"/>
    </xf>
    <xf numFmtId="1" fontId="0" fillId="0" borderId="26" xfId="0" applyNumberFormat="1" applyFont="1" applyFill="1" applyBorder="1" applyAlignment="1">
      <alignment horizontal="right"/>
    </xf>
    <xf numFmtId="206" fontId="0" fillId="0" borderId="12" xfId="0" applyNumberFormat="1" applyFont="1" applyFill="1" applyBorder="1" applyAlignment="1">
      <alignment horizontal="right"/>
    </xf>
    <xf numFmtId="1" fontId="0" fillId="0" borderId="13" xfId="0" applyNumberFormat="1" applyFont="1" applyFill="1" applyBorder="1" applyAlignment="1">
      <alignment horizontal="right"/>
    </xf>
    <xf numFmtId="1" fontId="0" fillId="0" borderId="14" xfId="0" applyNumberFormat="1" applyFont="1" applyFill="1" applyBorder="1" applyAlignment="1">
      <alignment horizontal="right"/>
    </xf>
    <xf numFmtId="206" fontId="0" fillId="0" borderId="62" xfId="0" applyNumberFormat="1" applyFont="1" applyFill="1" applyBorder="1" applyAlignment="1">
      <alignment horizontal="right"/>
    </xf>
    <xf numFmtId="206" fontId="0" fillId="0" borderId="45" xfId="0" applyNumberFormat="1" applyFont="1" applyFill="1" applyBorder="1" applyAlignment="1">
      <alignment horizontal="right"/>
    </xf>
    <xf numFmtId="1" fontId="0" fillId="0" borderId="18" xfId="0" applyNumberFormat="1" applyFont="1" applyFill="1" applyBorder="1" applyAlignment="1">
      <alignment horizontal="right"/>
    </xf>
    <xf numFmtId="0" fontId="0" fillId="0" borderId="18" xfId="0" applyNumberFormat="1" applyFont="1" applyFill="1" applyBorder="1" applyAlignment="1">
      <alignment horizontal="right"/>
    </xf>
    <xf numFmtId="0" fontId="0" fillId="0" borderId="45" xfId="0" applyNumberFormat="1" applyFont="1" applyFill="1" applyBorder="1" applyAlignment="1">
      <alignment horizontal="right"/>
    </xf>
    <xf numFmtId="206" fontId="0" fillId="0" borderId="18" xfId="0" applyNumberFormat="1" applyFont="1" applyFill="1" applyBorder="1" applyAlignment="1">
      <alignment horizontal="right"/>
    </xf>
    <xf numFmtId="184" fontId="0" fillId="0" borderId="45" xfId="49" applyNumberFormat="1" applyFont="1" applyFill="1" applyBorder="1" applyAlignment="1">
      <alignment horizontal="right" vertical="top"/>
    </xf>
    <xf numFmtId="206" fontId="0" fillId="0" borderId="63" xfId="0" applyNumberFormat="1" applyFont="1" applyFill="1" applyBorder="1" applyAlignment="1">
      <alignment horizontal="right"/>
    </xf>
    <xf numFmtId="0" fontId="0" fillId="0" borderId="31" xfId="0" applyFont="1" applyFill="1" applyBorder="1" applyAlignment="1">
      <alignment horizontal="right" vertical="center"/>
    </xf>
    <xf numFmtId="38" fontId="0" fillId="0" borderId="12" xfId="0" applyNumberFormat="1" applyFont="1" applyBorder="1" applyAlignment="1">
      <alignment horizontal="right" vertical="center"/>
    </xf>
    <xf numFmtId="0" fontId="3" fillId="0" borderId="50" xfId="0" applyFont="1" applyBorder="1" applyAlignment="1">
      <alignment horizontal="righ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7" fillId="0" borderId="0" xfId="0" applyFont="1" applyAlignment="1">
      <alignment horizontal="center"/>
    </xf>
    <xf numFmtId="0" fontId="0" fillId="0" borderId="64" xfId="0" applyBorder="1" applyAlignment="1">
      <alignment horizontal="center" vertical="center"/>
    </xf>
    <xf numFmtId="0" fontId="0" fillId="0" borderId="32" xfId="0" applyBorder="1" applyAlignment="1">
      <alignment horizontal="center" vertical="center"/>
    </xf>
    <xf numFmtId="0" fontId="0" fillId="0" borderId="65"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right"/>
    </xf>
    <xf numFmtId="0" fontId="4" fillId="0" borderId="0" xfId="0" applyFont="1" applyFill="1" applyBorder="1" applyAlignment="1">
      <alignment vertical="top" wrapText="1"/>
    </xf>
    <xf numFmtId="0" fontId="0" fillId="0" borderId="0" xfId="0" applyFill="1" applyBorder="1" applyAlignment="1">
      <alignment vertical="top" wrapText="1"/>
    </xf>
    <xf numFmtId="0" fontId="0" fillId="0" borderId="65" xfId="0" applyBorder="1" applyAlignment="1">
      <alignment horizontal="center" vertical="center" wrapText="1"/>
    </xf>
    <xf numFmtId="0" fontId="0" fillId="0" borderId="18" xfId="0" applyBorder="1" applyAlignment="1">
      <alignment horizontal="center" vertical="center" wrapText="1"/>
    </xf>
    <xf numFmtId="0" fontId="0" fillId="0" borderId="33" xfId="0" applyBorder="1" applyAlignment="1">
      <alignment horizontal="center" vertical="center" wrapText="1"/>
    </xf>
    <xf numFmtId="0" fontId="14" fillId="0" borderId="0" xfId="0" applyFont="1" applyAlignment="1">
      <alignment horizontal="center"/>
    </xf>
    <xf numFmtId="0" fontId="0" fillId="0" borderId="46" xfId="0" applyBorder="1" applyAlignment="1">
      <alignment horizontal="center" vertical="center"/>
    </xf>
    <xf numFmtId="0" fontId="0" fillId="0" borderId="0" xfId="0" applyFont="1" applyAlignment="1">
      <alignment horizontal="center"/>
    </xf>
    <xf numFmtId="0" fontId="4" fillId="0" borderId="0" xfId="0" applyFont="1" applyAlignment="1">
      <alignment horizontal="left"/>
    </xf>
    <xf numFmtId="0" fontId="14" fillId="0" borderId="0" xfId="0" applyFont="1" applyAlignment="1">
      <alignment/>
    </xf>
    <xf numFmtId="0" fontId="0" fillId="0" borderId="0" xfId="0" applyFont="1" applyAlignment="1">
      <alignment/>
    </xf>
    <xf numFmtId="0" fontId="4" fillId="0" borderId="10" xfId="0" applyFont="1" applyBorder="1" applyAlignment="1">
      <alignment horizontal="right"/>
    </xf>
    <xf numFmtId="0" fontId="0" fillId="0" borderId="10" xfId="0" applyFont="1" applyBorder="1" applyAlignment="1">
      <alignment/>
    </xf>
    <xf numFmtId="0" fontId="0" fillId="0" borderId="15" xfId="0" applyFont="1" applyBorder="1" applyAlignment="1">
      <alignment horizontal="center" vertical="center"/>
    </xf>
    <xf numFmtId="0" fontId="0" fillId="0" borderId="32"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38" fontId="4" fillId="0" borderId="0" xfId="49" applyFont="1" applyAlignment="1">
      <alignment horizontal="right"/>
    </xf>
    <xf numFmtId="38" fontId="14" fillId="0" borderId="0" xfId="49" applyFont="1" applyBorder="1" applyAlignment="1">
      <alignment horizontal="center" vertical="center"/>
    </xf>
    <xf numFmtId="38" fontId="4" fillId="0" borderId="11" xfId="49" applyFont="1" applyFill="1" applyBorder="1" applyAlignment="1">
      <alignment vertical="center"/>
    </xf>
    <xf numFmtId="38" fontId="4" fillId="0" borderId="12" xfId="49" applyFont="1" applyFill="1" applyBorder="1" applyAlignment="1">
      <alignment vertical="center"/>
    </xf>
    <xf numFmtId="38" fontId="0" fillId="0" borderId="66" xfId="49" applyFont="1" applyBorder="1" applyAlignment="1">
      <alignment horizontal="center" vertical="center"/>
    </xf>
    <xf numFmtId="38" fontId="0" fillId="0" borderId="33" xfId="49" applyFont="1" applyBorder="1" applyAlignment="1">
      <alignment horizontal="center" vertical="center"/>
    </xf>
    <xf numFmtId="38" fontId="4" fillId="0" borderId="67" xfId="49" applyFont="1" applyFill="1" applyBorder="1" applyAlignment="1">
      <alignment vertical="center"/>
    </xf>
    <xf numFmtId="38" fontId="4" fillId="0" borderId="14" xfId="49" applyFont="1" applyFill="1" applyBorder="1" applyAlignment="1">
      <alignment vertical="center"/>
    </xf>
    <xf numFmtId="38" fontId="4" fillId="0" borderId="39" xfId="49" applyFont="1" applyFill="1" applyBorder="1" applyAlignment="1">
      <alignment vertical="center"/>
    </xf>
    <xf numFmtId="38" fontId="4" fillId="0" borderId="16" xfId="49" applyFont="1" applyFill="1" applyBorder="1" applyAlignment="1">
      <alignment vertical="top"/>
    </xf>
    <xf numFmtId="38" fontId="4" fillId="0" borderId="17" xfId="49" applyFont="1" applyFill="1" applyBorder="1" applyAlignment="1">
      <alignment vertical="top"/>
    </xf>
    <xf numFmtId="38" fontId="4" fillId="0" borderId="11" xfId="49" applyFont="1" applyFill="1" applyBorder="1" applyAlignment="1">
      <alignment vertical="top"/>
    </xf>
    <xf numFmtId="38" fontId="4" fillId="0" borderId="12" xfId="49" applyFont="1" applyFill="1" applyBorder="1" applyAlignment="1">
      <alignment vertical="top"/>
    </xf>
    <xf numFmtId="38" fontId="9" fillId="0" borderId="11" xfId="49" applyFont="1" applyFill="1" applyBorder="1" applyAlignment="1">
      <alignment vertical="center"/>
    </xf>
    <xf numFmtId="38" fontId="9" fillId="0" borderId="12" xfId="49" applyFont="1" applyFill="1" applyBorder="1" applyAlignment="1">
      <alignment vertical="center"/>
    </xf>
    <xf numFmtId="38" fontId="4" fillId="0" borderId="32" xfId="49" applyFont="1" applyFill="1" applyBorder="1" applyAlignment="1">
      <alignment vertical="center"/>
    </xf>
    <xf numFmtId="38" fontId="4" fillId="0" borderId="13" xfId="49" applyFont="1" applyFill="1" applyBorder="1" applyAlignment="1">
      <alignment vertical="center"/>
    </xf>
    <xf numFmtId="38" fontId="9" fillId="0" borderId="0" xfId="49" applyFont="1" applyFill="1" applyBorder="1" applyAlignment="1">
      <alignment vertical="top"/>
    </xf>
    <xf numFmtId="38" fontId="9" fillId="0" borderId="11" xfId="49" applyFont="1" applyFill="1" applyBorder="1" applyAlignment="1">
      <alignment vertical="top"/>
    </xf>
    <xf numFmtId="38" fontId="2" fillId="0" borderId="64" xfId="49" applyFont="1" applyBorder="1" applyAlignment="1">
      <alignment horizontal="center" vertical="center"/>
    </xf>
    <xf numFmtId="38" fontId="2" fillId="0" borderId="65" xfId="49" applyFont="1" applyBorder="1" applyAlignment="1">
      <alignment horizontal="center" vertical="center"/>
    </xf>
    <xf numFmtId="38" fontId="2" fillId="0" borderId="32" xfId="49" applyFont="1" applyBorder="1" applyAlignment="1">
      <alignment horizontal="center" vertical="center"/>
    </xf>
    <xf numFmtId="38" fontId="2" fillId="0" borderId="13" xfId="49" applyFont="1" applyBorder="1" applyAlignment="1">
      <alignment horizontal="center" vertical="center"/>
    </xf>
    <xf numFmtId="38" fontId="0" fillId="0" borderId="66" xfId="49" applyFont="1" applyBorder="1" applyAlignment="1">
      <alignment horizontal="center" vertical="center"/>
    </xf>
    <xf numFmtId="38" fontId="0" fillId="0" borderId="13" xfId="49" applyFont="1" applyBorder="1" applyAlignment="1">
      <alignment horizontal="center" vertical="center"/>
    </xf>
    <xf numFmtId="38" fontId="14" fillId="0" borderId="0" xfId="49" applyFont="1" applyAlignment="1">
      <alignment horizontal="center"/>
    </xf>
    <xf numFmtId="38" fontId="0" fillId="0" borderId="65" xfId="49" applyFont="1" applyBorder="1" applyAlignment="1">
      <alignment horizontal="center" vertical="center"/>
    </xf>
    <xf numFmtId="0" fontId="0" fillId="0" borderId="40" xfId="0" applyFont="1" applyBorder="1" applyAlignment="1">
      <alignment horizontal="left" vertical="center"/>
    </xf>
    <xf numFmtId="0" fontId="0" fillId="0" borderId="39" xfId="0" applyFont="1" applyBorder="1" applyAlignment="1">
      <alignment horizontal="center" vertical="distributed"/>
    </xf>
    <xf numFmtId="0" fontId="0" fillId="0" borderId="67" xfId="0" applyFont="1" applyBorder="1" applyAlignment="1">
      <alignment horizontal="center" vertical="distributed"/>
    </xf>
    <xf numFmtId="0" fontId="0" fillId="0" borderId="68" xfId="0" applyFont="1" applyBorder="1" applyAlignment="1">
      <alignment horizontal="center" vertical="distributed"/>
    </xf>
    <xf numFmtId="0" fontId="0" fillId="0" borderId="54" xfId="0" applyFont="1" applyBorder="1" applyAlignment="1">
      <alignment horizontal="center" vertical="distributed"/>
    </xf>
    <xf numFmtId="0" fontId="0" fillId="0" borderId="69" xfId="0" applyFont="1" applyBorder="1" applyAlignment="1">
      <alignment horizontal="center" vertical="center"/>
    </xf>
    <xf numFmtId="0" fontId="0" fillId="0" borderId="69" xfId="0" applyFont="1" applyBorder="1" applyAlignment="1">
      <alignment horizontal="center" vertical="center"/>
    </xf>
    <xf numFmtId="0" fontId="0" fillId="0" borderId="64" xfId="0" applyFont="1" applyBorder="1" applyAlignment="1">
      <alignment horizontal="center" vertical="center"/>
    </xf>
    <xf numFmtId="0" fontId="0" fillId="0" borderId="46" xfId="0" applyFont="1" applyBorder="1" applyAlignment="1">
      <alignment horizontal="center" vertical="center"/>
    </xf>
    <xf numFmtId="0" fontId="0" fillId="0" borderId="43" xfId="0" applyFont="1" applyBorder="1" applyAlignment="1">
      <alignment horizontal="center" vertical="center"/>
    </xf>
    <xf numFmtId="0" fontId="0" fillId="0" borderId="52" xfId="0" applyFont="1" applyBorder="1" applyAlignment="1">
      <alignment horizontal="center" vertical="center"/>
    </xf>
    <xf numFmtId="0" fontId="0" fillId="0" borderId="15"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67" xfId="0" applyFont="1" applyBorder="1" applyAlignment="1">
      <alignment horizontal="distributed" vertical="center"/>
    </xf>
    <xf numFmtId="0" fontId="0" fillId="0" borderId="14" xfId="0" applyFont="1" applyBorder="1" applyAlignment="1">
      <alignment horizontal="distributed" vertical="center"/>
    </xf>
    <xf numFmtId="0" fontId="0" fillId="0" borderId="39" xfId="0" applyFont="1" applyBorder="1" applyAlignment="1">
      <alignment horizontal="center" vertical="center"/>
    </xf>
    <xf numFmtId="0" fontId="0" fillId="0" borderId="67" xfId="0" applyFont="1" applyBorder="1" applyAlignment="1">
      <alignment horizontal="center" vertical="center"/>
    </xf>
    <xf numFmtId="0" fontId="0" fillId="0" borderId="18" xfId="0" applyFont="1" applyBorder="1" applyAlignment="1">
      <alignment horizontal="distributed" vertical="center"/>
    </xf>
    <xf numFmtId="0" fontId="0" fillId="0" borderId="11" xfId="0" applyFont="1" applyBorder="1" applyAlignment="1">
      <alignment horizontal="distributed" vertical="center"/>
    </xf>
    <xf numFmtId="0" fontId="0" fillId="0" borderId="49" xfId="0" applyFont="1" applyBorder="1" applyAlignment="1">
      <alignment horizontal="distributed" vertical="center"/>
    </xf>
    <xf numFmtId="0" fontId="0" fillId="0" borderId="47" xfId="0" applyFont="1" applyBorder="1" applyAlignment="1">
      <alignment horizontal="distributed"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12" xfId="0" applyFont="1" applyBorder="1" applyAlignment="1">
      <alignment horizontal="distributed" vertical="center"/>
    </xf>
    <xf numFmtId="0" fontId="0" fillId="0" borderId="45" xfId="0" applyFont="1" applyBorder="1" applyAlignment="1">
      <alignment horizontal="distributed" vertical="center"/>
    </xf>
    <xf numFmtId="0" fontId="0" fillId="0" borderId="15" xfId="0" applyFont="1" applyBorder="1" applyAlignment="1">
      <alignment horizontal="distributed" vertical="center"/>
    </xf>
    <xf numFmtId="0" fontId="0" fillId="0" borderId="70" xfId="0" applyFont="1" applyBorder="1" applyAlignment="1">
      <alignment horizontal="distributed" vertical="center"/>
    </xf>
    <xf numFmtId="0" fontId="0" fillId="0" borderId="57" xfId="0" applyFont="1" applyBorder="1" applyAlignment="1">
      <alignment horizontal="distributed" vertical="center"/>
    </xf>
    <xf numFmtId="203" fontId="0" fillId="0" borderId="65" xfId="0" applyNumberFormat="1" applyFont="1" applyFill="1" applyBorder="1" applyAlignment="1">
      <alignment horizontal="center" vertical="center" wrapText="1"/>
    </xf>
    <xf numFmtId="203" fontId="0" fillId="0" borderId="13" xfId="0" applyNumberFormat="1" applyFont="1" applyFill="1" applyBorder="1" applyAlignment="1">
      <alignment horizontal="center" vertical="center"/>
    </xf>
    <xf numFmtId="0" fontId="0" fillId="0" borderId="26" xfId="0" applyFont="1" applyBorder="1" applyAlignment="1">
      <alignment horizontal="distributed" vertical="center"/>
    </xf>
    <xf numFmtId="0" fontId="0" fillId="0" borderId="12" xfId="0" applyFont="1" applyFill="1" applyBorder="1" applyAlignment="1">
      <alignment horizontal="distributed" vertical="center"/>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xf>
    <xf numFmtId="0" fontId="0" fillId="0" borderId="6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64" xfId="0" applyFont="1" applyBorder="1" applyAlignment="1">
      <alignment horizontal="center" vertical="center"/>
    </xf>
    <xf numFmtId="0" fontId="3" fillId="0" borderId="45" xfId="0" applyFont="1" applyBorder="1" applyAlignment="1">
      <alignment horizontal="distributed" vertical="center"/>
    </xf>
    <xf numFmtId="0" fontId="3" fillId="0" borderId="15" xfId="0" applyFont="1" applyBorder="1" applyAlignment="1">
      <alignment horizontal="distributed" vertical="center"/>
    </xf>
    <xf numFmtId="0" fontId="0" fillId="0" borderId="65" xfId="0" applyFont="1" applyFill="1" applyBorder="1" applyAlignment="1">
      <alignment horizontal="center" vertical="center"/>
    </xf>
    <xf numFmtId="0" fontId="0" fillId="0" borderId="13" xfId="0" applyFont="1" applyFill="1" applyBorder="1" applyAlignment="1">
      <alignment horizontal="center" vertical="center"/>
    </xf>
    <xf numFmtId="203" fontId="0" fillId="0" borderId="65" xfId="0" applyNumberFormat="1" applyFont="1" applyBorder="1" applyAlignment="1">
      <alignment horizontal="center" vertical="center" wrapText="1"/>
    </xf>
    <xf numFmtId="203" fontId="0" fillId="0" borderId="13" xfId="0" applyNumberFormat="1" applyFont="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xf>
    <xf numFmtId="0" fontId="0" fillId="0" borderId="24" xfId="0" applyFont="1" applyBorder="1" applyAlignment="1">
      <alignment/>
    </xf>
    <xf numFmtId="0" fontId="0" fillId="0" borderId="0" xfId="0" applyFont="1" applyBorder="1" applyAlignment="1">
      <alignment horizontal="left" vertical="top" wrapText="1"/>
    </xf>
    <xf numFmtId="0" fontId="2" fillId="0" borderId="0" xfId="0" applyFont="1" applyAlignment="1">
      <alignment/>
    </xf>
    <xf numFmtId="0" fontId="0" fillId="0" borderId="0" xfId="0" applyFont="1" applyAlignment="1">
      <alignment/>
    </xf>
    <xf numFmtId="0" fontId="4" fillId="0" borderId="0" xfId="0" applyFont="1" applyAlignment="1">
      <alignment horizontal="right" vertical="center"/>
    </xf>
    <xf numFmtId="0" fontId="0" fillId="0" borderId="10" xfId="0" applyFont="1" applyBorder="1" applyAlignment="1">
      <alignment horizontal="right"/>
    </xf>
    <xf numFmtId="0" fontId="4" fillId="0" borderId="69" xfId="0" applyFont="1" applyBorder="1" applyAlignment="1">
      <alignment horizontal="center" vertical="center" wrapText="1"/>
    </xf>
    <xf numFmtId="0" fontId="4" fillId="0" borderId="0" xfId="0" applyFont="1" applyBorder="1" applyAlignment="1">
      <alignment horizontal="center" vertical="center"/>
    </xf>
    <xf numFmtId="0" fontId="4" fillId="0" borderId="46" xfId="0" applyFont="1" applyBorder="1" applyAlignment="1">
      <alignment horizontal="center" vertical="center"/>
    </xf>
    <xf numFmtId="0" fontId="4" fillId="0" borderId="66" xfId="0" applyFont="1" applyBorder="1" applyAlignment="1">
      <alignment horizontal="center" vertical="center" wrapText="1"/>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45"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48</xdr:row>
      <xdr:rowOff>152400</xdr:rowOff>
    </xdr:from>
    <xdr:to>
      <xdr:col>5</xdr:col>
      <xdr:colOff>285750</xdr:colOff>
      <xdr:row>52</xdr:row>
      <xdr:rowOff>104775</xdr:rowOff>
    </xdr:to>
    <xdr:sp>
      <xdr:nvSpPr>
        <xdr:cNvPr id="1" name="右中かっこ 1"/>
        <xdr:cNvSpPr>
          <a:spLocks/>
        </xdr:cNvSpPr>
      </xdr:nvSpPr>
      <xdr:spPr>
        <a:xfrm>
          <a:off x="4829175" y="8496300"/>
          <a:ext cx="114300" cy="6381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49</xdr:row>
      <xdr:rowOff>161925</xdr:rowOff>
    </xdr:from>
    <xdr:to>
      <xdr:col>6</xdr:col>
      <xdr:colOff>638175</xdr:colOff>
      <xdr:row>52</xdr:row>
      <xdr:rowOff>28575</xdr:rowOff>
    </xdr:to>
    <xdr:sp>
      <xdr:nvSpPr>
        <xdr:cNvPr id="2" name="テキスト ボックス 2"/>
        <xdr:cNvSpPr txBox="1">
          <a:spLocks noChangeArrowheads="1"/>
        </xdr:cNvSpPr>
      </xdr:nvSpPr>
      <xdr:spPr>
        <a:xfrm>
          <a:off x="5057775" y="8677275"/>
          <a:ext cx="1276350" cy="381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「不詳」は含まず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3"/>
  <sheetViews>
    <sheetView showGridLines="0" tabSelected="1" zoomScaleSheetLayoutView="100" zoomScalePageLayoutView="0" workbookViewId="0" topLeftCell="A1">
      <selection activeCell="I1" sqref="I1:K1"/>
    </sheetView>
  </sheetViews>
  <sheetFormatPr defaultColWidth="9.00390625" defaultRowHeight="13.5"/>
  <cols>
    <col min="1" max="1" width="6.25390625" style="0" customWidth="1"/>
    <col min="2" max="4" width="8.125" style="0" customWidth="1"/>
    <col min="5" max="5" width="7.875" style="0" customWidth="1"/>
    <col min="6" max="6" width="8.625" style="0" customWidth="1"/>
    <col min="7" max="7" width="12.375" style="0" customWidth="1"/>
    <col min="8" max="8" width="9.625" style="0" customWidth="1"/>
    <col min="9" max="9" width="8.125" style="0" customWidth="1"/>
    <col min="11" max="11" width="6.625" style="0" customWidth="1"/>
  </cols>
  <sheetData>
    <row r="1" spans="9:12" ht="13.5">
      <c r="I1" s="388" t="s">
        <v>314</v>
      </c>
      <c r="J1" s="388"/>
      <c r="K1" s="388"/>
      <c r="L1" s="5"/>
    </row>
    <row r="2" spans="9:12" ht="8.25" customHeight="1">
      <c r="I2" s="5"/>
      <c r="J2" s="5"/>
      <c r="L2" s="5"/>
    </row>
    <row r="3" spans="1:12" ht="19.5" customHeight="1">
      <c r="A3" s="383" t="s">
        <v>244</v>
      </c>
      <c r="B3" s="383"/>
      <c r="C3" s="383"/>
      <c r="D3" s="383"/>
      <c r="E3" s="383"/>
      <c r="F3" s="383"/>
      <c r="G3" s="383"/>
      <c r="H3" s="383"/>
      <c r="I3" s="383"/>
      <c r="J3" s="383"/>
      <c r="L3" s="145"/>
    </row>
    <row r="4" spans="9:12" ht="8.25" customHeight="1">
      <c r="I4" s="5"/>
      <c r="J4" s="5"/>
      <c r="L4" s="5"/>
    </row>
    <row r="5" spans="1:12" ht="17.25">
      <c r="A5" s="394" t="s">
        <v>224</v>
      </c>
      <c r="B5" s="394"/>
      <c r="C5" s="394"/>
      <c r="D5" s="394"/>
      <c r="E5" s="394"/>
      <c r="F5" s="394"/>
      <c r="G5" s="394"/>
      <c r="H5" s="394"/>
      <c r="I5" s="394"/>
      <c r="J5" s="394"/>
      <c r="L5" s="144"/>
    </row>
    <row r="6" spans="1:12" ht="9" customHeight="1" thickBot="1">
      <c r="A6" s="3"/>
      <c r="B6" s="3"/>
      <c r="C6" s="3"/>
      <c r="D6" s="3"/>
      <c r="E6" s="3"/>
      <c r="F6" s="3"/>
      <c r="G6" s="3"/>
      <c r="H6" s="3"/>
      <c r="I6" s="3"/>
      <c r="J6" s="3"/>
      <c r="L6" s="1"/>
    </row>
    <row r="7" spans="1:13" ht="30" customHeight="1" thickTop="1">
      <c r="A7" s="384" t="s">
        <v>239</v>
      </c>
      <c r="B7" s="386" t="s">
        <v>247</v>
      </c>
      <c r="C7" s="386" t="s">
        <v>0</v>
      </c>
      <c r="D7" s="395" t="s">
        <v>240</v>
      </c>
      <c r="E7" s="395"/>
      <c r="F7" s="385"/>
      <c r="G7" s="148" t="s">
        <v>242</v>
      </c>
      <c r="H7" s="381" t="s">
        <v>3</v>
      </c>
      <c r="I7" s="391" t="s">
        <v>227</v>
      </c>
      <c r="J7" s="392" t="s">
        <v>243</v>
      </c>
      <c r="L7" s="158"/>
      <c r="M7" s="1"/>
    </row>
    <row r="8" spans="1:13" ht="30.75" customHeight="1">
      <c r="A8" s="385"/>
      <c r="B8" s="387"/>
      <c r="C8" s="387"/>
      <c r="D8" s="150" t="s">
        <v>241</v>
      </c>
      <c r="E8" s="150" t="s">
        <v>1</v>
      </c>
      <c r="F8" s="150" t="s">
        <v>2</v>
      </c>
      <c r="G8" s="149" t="s">
        <v>4</v>
      </c>
      <c r="H8" s="382"/>
      <c r="I8" s="382"/>
      <c r="J8" s="393"/>
      <c r="L8" s="158"/>
      <c r="M8" s="1"/>
    </row>
    <row r="9" spans="1:13" ht="31.5" customHeight="1">
      <c r="A9" s="166">
        <v>1</v>
      </c>
      <c r="B9" s="167" t="s">
        <v>5</v>
      </c>
      <c r="C9" s="168">
        <v>1375</v>
      </c>
      <c r="D9" s="168">
        <v>11434</v>
      </c>
      <c r="E9" s="168">
        <v>5724</v>
      </c>
      <c r="F9" s="168">
        <v>5710</v>
      </c>
      <c r="G9" s="169">
        <f>E9/F9*100</f>
        <v>100.24518388791594</v>
      </c>
      <c r="H9" s="170">
        <f aca="true" t="shared" si="0" ref="H9:H14">D9/C9</f>
        <v>8.315636363636363</v>
      </c>
      <c r="I9" s="171">
        <f>D9/J9</f>
        <v>104.0873918980428</v>
      </c>
      <c r="J9" s="172">
        <v>109.85</v>
      </c>
      <c r="L9" s="1"/>
      <c r="M9" s="1"/>
    </row>
    <row r="10" spans="1:13" ht="31.5" customHeight="1">
      <c r="A10" s="166">
        <v>2</v>
      </c>
      <c r="B10" s="166">
        <v>14</v>
      </c>
      <c r="C10" s="168">
        <v>1949</v>
      </c>
      <c r="D10" s="168">
        <v>12636</v>
      </c>
      <c r="E10" s="168">
        <v>6424</v>
      </c>
      <c r="F10" s="168">
        <v>6212</v>
      </c>
      <c r="G10" s="169">
        <f aca="true" t="shared" si="1" ref="G10:G24">E10/F10*100</f>
        <v>103.41274951706374</v>
      </c>
      <c r="H10" s="170">
        <f t="shared" si="0"/>
        <v>6.483324781939456</v>
      </c>
      <c r="I10" s="173">
        <f>D10/J9</f>
        <v>115.02958579881657</v>
      </c>
      <c r="J10" s="172"/>
      <c r="L10" s="1"/>
      <c r="M10" s="1"/>
    </row>
    <row r="11" spans="1:13" ht="31.5" customHeight="1">
      <c r="A11" s="166">
        <v>3</v>
      </c>
      <c r="B11" s="167" t="s">
        <v>6</v>
      </c>
      <c r="C11" s="168">
        <v>2235</v>
      </c>
      <c r="D11" s="168">
        <v>13551</v>
      </c>
      <c r="E11" s="168">
        <v>6844</v>
      </c>
      <c r="F11" s="168">
        <v>6707</v>
      </c>
      <c r="G11" s="169">
        <f t="shared" si="1"/>
        <v>102.04264201580438</v>
      </c>
      <c r="H11" s="170">
        <f t="shared" si="0"/>
        <v>6.063087248322148</v>
      </c>
      <c r="I11" s="173">
        <f>D11/J9</f>
        <v>123.35912608101958</v>
      </c>
      <c r="J11" s="172"/>
      <c r="L11" s="159"/>
      <c r="M11" s="1"/>
    </row>
    <row r="12" spans="1:13" ht="30.75" customHeight="1">
      <c r="A12" s="166">
        <v>4</v>
      </c>
      <c r="B12" s="166">
        <v>10</v>
      </c>
      <c r="C12" s="168">
        <v>2357</v>
      </c>
      <c r="D12" s="168">
        <v>13257</v>
      </c>
      <c r="E12" s="168">
        <v>6846</v>
      </c>
      <c r="F12" s="168">
        <v>6411</v>
      </c>
      <c r="G12" s="169">
        <f t="shared" si="1"/>
        <v>106.78521291530183</v>
      </c>
      <c r="H12" s="170">
        <f t="shared" si="0"/>
        <v>5.624522698345355</v>
      </c>
      <c r="I12" s="173">
        <f>D12/J9</f>
        <v>120.68274920345927</v>
      </c>
      <c r="J12" s="172"/>
      <c r="L12" s="159"/>
      <c r="M12" s="1"/>
    </row>
    <row r="13" spans="1:13" ht="31.5" customHeight="1">
      <c r="A13" s="166">
        <v>5</v>
      </c>
      <c r="B13" s="166">
        <v>15</v>
      </c>
      <c r="C13" s="168">
        <v>2353</v>
      </c>
      <c r="D13" s="168">
        <v>12477</v>
      </c>
      <c r="E13" s="168">
        <v>6262</v>
      </c>
      <c r="F13" s="168">
        <v>6215</v>
      </c>
      <c r="G13" s="169">
        <f t="shared" si="1"/>
        <v>100.75623491552695</v>
      </c>
      <c r="H13" s="170">
        <f t="shared" si="0"/>
        <v>5.30259243518912</v>
      </c>
      <c r="I13" s="173">
        <f>D13/J9</f>
        <v>113.58215748748293</v>
      </c>
      <c r="J13" s="172"/>
      <c r="L13" s="1"/>
      <c r="M13" s="1"/>
    </row>
    <row r="14" spans="1:13" ht="31.5" customHeight="1">
      <c r="A14" s="166">
        <v>6</v>
      </c>
      <c r="B14" s="166">
        <v>22</v>
      </c>
      <c r="C14" s="168">
        <v>3094</v>
      </c>
      <c r="D14" s="168">
        <v>16018</v>
      </c>
      <c r="E14" s="168">
        <v>7766</v>
      </c>
      <c r="F14" s="168">
        <v>8252</v>
      </c>
      <c r="G14" s="169">
        <f t="shared" si="1"/>
        <v>94.11051866214251</v>
      </c>
      <c r="H14" s="170">
        <f t="shared" si="0"/>
        <v>5.177117000646413</v>
      </c>
      <c r="I14" s="173">
        <f>D14/J9</f>
        <v>145.81702321347294</v>
      </c>
      <c r="J14" s="172"/>
      <c r="L14" s="1"/>
      <c r="M14" s="1"/>
    </row>
    <row r="15" spans="1:13" ht="31.5" customHeight="1">
      <c r="A15" s="166">
        <v>7</v>
      </c>
      <c r="B15" s="166">
        <v>25</v>
      </c>
      <c r="C15" s="168">
        <v>3296</v>
      </c>
      <c r="D15" s="168">
        <v>16695</v>
      </c>
      <c r="E15" s="168">
        <v>8209</v>
      </c>
      <c r="F15" s="168">
        <v>8486</v>
      </c>
      <c r="G15" s="169">
        <f t="shared" si="1"/>
        <v>96.73580014140938</v>
      </c>
      <c r="H15" s="170">
        <f aca="true" t="shared" si="2" ref="H15:H27">D15/C15</f>
        <v>5.065230582524272</v>
      </c>
      <c r="I15" s="173">
        <f>D15/J9</f>
        <v>151.97997269003187</v>
      </c>
      <c r="J15" s="172"/>
      <c r="L15" s="1"/>
      <c r="M15" s="1"/>
    </row>
    <row r="16" spans="1:13" ht="31.5" customHeight="1">
      <c r="A16" s="166">
        <v>8</v>
      </c>
      <c r="B16" s="166">
        <v>30</v>
      </c>
      <c r="C16" s="168">
        <v>3296</v>
      </c>
      <c r="D16" s="168">
        <v>16158</v>
      </c>
      <c r="E16" s="168">
        <v>7936</v>
      </c>
      <c r="F16" s="168">
        <v>8222</v>
      </c>
      <c r="G16" s="169">
        <f t="shared" si="1"/>
        <v>96.5215276088543</v>
      </c>
      <c r="H16" s="173">
        <f t="shared" si="2"/>
        <v>4.902305825242719</v>
      </c>
      <c r="I16" s="174">
        <f>D16/J9</f>
        <v>147.09148839326355</v>
      </c>
      <c r="J16" s="172"/>
      <c r="L16" s="1"/>
      <c r="M16" s="1"/>
    </row>
    <row r="17" spans="1:13" ht="31.5" customHeight="1">
      <c r="A17" s="166">
        <v>9</v>
      </c>
      <c r="B17" s="166">
        <v>35</v>
      </c>
      <c r="C17" s="168">
        <v>3390</v>
      </c>
      <c r="D17" s="168">
        <v>15249</v>
      </c>
      <c r="E17" s="168">
        <v>7385</v>
      </c>
      <c r="F17" s="168">
        <v>7864</v>
      </c>
      <c r="G17" s="169">
        <f t="shared" si="1"/>
        <v>93.9089521871821</v>
      </c>
      <c r="H17" s="170">
        <f t="shared" si="2"/>
        <v>4.498230088495575</v>
      </c>
      <c r="I17" s="173">
        <f>D17/J9</f>
        <v>138.81656804733728</v>
      </c>
      <c r="J17" s="172"/>
      <c r="L17" s="1"/>
      <c r="M17" s="1"/>
    </row>
    <row r="18" spans="1:13" ht="31.5" customHeight="1">
      <c r="A18" s="166">
        <v>10</v>
      </c>
      <c r="B18" s="166">
        <v>40</v>
      </c>
      <c r="C18" s="168">
        <v>3672</v>
      </c>
      <c r="D18" s="168">
        <v>14803</v>
      </c>
      <c r="E18" s="168">
        <v>7035</v>
      </c>
      <c r="F18" s="168">
        <v>7768</v>
      </c>
      <c r="G18" s="169">
        <f t="shared" si="1"/>
        <v>90.5638516992791</v>
      </c>
      <c r="H18" s="170">
        <f t="shared" si="2"/>
        <v>4.031318082788671</v>
      </c>
      <c r="I18" s="173">
        <f>D18/J9</f>
        <v>134.75648611743287</v>
      </c>
      <c r="J18" s="172"/>
      <c r="L18" s="1"/>
      <c r="M18" s="1"/>
    </row>
    <row r="19" spans="1:13" ht="31.5" customHeight="1">
      <c r="A19" s="166">
        <v>11</v>
      </c>
      <c r="B19" s="166">
        <v>45</v>
      </c>
      <c r="C19" s="168">
        <v>4078</v>
      </c>
      <c r="D19" s="168">
        <v>14699</v>
      </c>
      <c r="E19" s="168">
        <v>6885</v>
      </c>
      <c r="F19" s="168">
        <v>7814</v>
      </c>
      <c r="G19" s="169">
        <f t="shared" si="1"/>
        <v>88.11108267212695</v>
      </c>
      <c r="H19" s="170">
        <f t="shared" si="2"/>
        <v>3.6044629720451202</v>
      </c>
      <c r="I19" s="173">
        <f>D19/J9</f>
        <v>133.80974055530268</v>
      </c>
      <c r="J19" s="172"/>
      <c r="L19" s="1"/>
      <c r="M19" s="1"/>
    </row>
    <row r="20" spans="1:13" ht="31.5" customHeight="1">
      <c r="A20" s="166">
        <v>12</v>
      </c>
      <c r="B20" s="166">
        <v>50</v>
      </c>
      <c r="C20" s="168">
        <v>4693</v>
      </c>
      <c r="D20" s="168">
        <v>15789</v>
      </c>
      <c r="E20" s="168">
        <v>7405</v>
      </c>
      <c r="F20" s="168">
        <v>8384</v>
      </c>
      <c r="G20" s="169">
        <f t="shared" si="1"/>
        <v>88.3229961832061</v>
      </c>
      <c r="H20" s="170">
        <f t="shared" si="2"/>
        <v>3.3643724696356276</v>
      </c>
      <c r="I20" s="173">
        <f>D20/J9</f>
        <v>143.73236231224396</v>
      </c>
      <c r="J20" s="172"/>
      <c r="L20" s="1"/>
      <c r="M20" s="1"/>
    </row>
    <row r="21" spans="1:13" ht="31.5" customHeight="1">
      <c r="A21" s="166">
        <v>13</v>
      </c>
      <c r="B21" s="166">
        <v>55</v>
      </c>
      <c r="C21" s="168">
        <v>5393</v>
      </c>
      <c r="D21" s="168">
        <v>17713</v>
      </c>
      <c r="E21" s="168">
        <v>8447</v>
      </c>
      <c r="F21" s="168">
        <v>9266</v>
      </c>
      <c r="G21" s="169">
        <f t="shared" si="1"/>
        <v>91.16123462119577</v>
      </c>
      <c r="H21" s="170">
        <f t="shared" si="2"/>
        <v>3.2844427962173186</v>
      </c>
      <c r="I21" s="173">
        <f>D21/J9</f>
        <v>161.24715521165226</v>
      </c>
      <c r="J21" s="172"/>
      <c r="L21" s="1"/>
      <c r="M21" s="1"/>
    </row>
    <row r="22" spans="1:13" ht="31.5" customHeight="1">
      <c r="A22" s="166">
        <v>14</v>
      </c>
      <c r="B22" s="166">
        <v>60</v>
      </c>
      <c r="C22" s="168">
        <v>5911</v>
      </c>
      <c r="D22" s="168">
        <v>18832</v>
      </c>
      <c r="E22" s="168">
        <v>8936</v>
      </c>
      <c r="F22" s="168">
        <v>9896</v>
      </c>
      <c r="G22" s="169">
        <f t="shared" si="1"/>
        <v>90.29911075181892</v>
      </c>
      <c r="H22" s="170">
        <f t="shared" si="2"/>
        <v>3.1859245474538995</v>
      </c>
      <c r="I22" s="173">
        <f>D22/J9</f>
        <v>171.43377332726445</v>
      </c>
      <c r="J22" s="172"/>
      <c r="L22" s="1"/>
      <c r="M22" s="1"/>
    </row>
    <row r="23" spans="1:13" ht="30" customHeight="1">
      <c r="A23" s="166">
        <v>15</v>
      </c>
      <c r="B23" s="167" t="s">
        <v>252</v>
      </c>
      <c r="C23" s="168">
        <v>6837</v>
      </c>
      <c r="D23" s="168">
        <v>21011</v>
      </c>
      <c r="E23" s="168">
        <v>9926</v>
      </c>
      <c r="F23" s="168">
        <v>11085</v>
      </c>
      <c r="G23" s="169">
        <f t="shared" si="1"/>
        <v>89.54442940911142</v>
      </c>
      <c r="H23" s="173">
        <f t="shared" si="2"/>
        <v>3.0731314904197746</v>
      </c>
      <c r="I23" s="174">
        <f>D23/J9</f>
        <v>191.26991351843424</v>
      </c>
      <c r="J23" s="172"/>
      <c r="L23" s="1"/>
      <c r="M23" s="1"/>
    </row>
    <row r="24" spans="1:13" ht="31.5" customHeight="1">
      <c r="A24" s="166">
        <v>16</v>
      </c>
      <c r="B24" s="166">
        <v>7</v>
      </c>
      <c r="C24" s="168">
        <v>7990</v>
      </c>
      <c r="D24" s="168">
        <v>22941</v>
      </c>
      <c r="E24" s="168">
        <v>10951</v>
      </c>
      <c r="F24" s="168">
        <v>11990</v>
      </c>
      <c r="G24" s="169">
        <f t="shared" si="1"/>
        <v>91.3344453711426</v>
      </c>
      <c r="H24" s="173">
        <f t="shared" si="2"/>
        <v>2.8712140175219023</v>
      </c>
      <c r="I24" s="174">
        <f>D24/J24</f>
        <v>208.53558767384783</v>
      </c>
      <c r="J24" s="172">
        <v>110.01</v>
      </c>
      <c r="L24" s="1"/>
      <c r="M24" s="1"/>
    </row>
    <row r="25" spans="1:13" ht="31.5" customHeight="1">
      <c r="A25" s="166">
        <v>17</v>
      </c>
      <c r="B25" s="166">
        <v>12</v>
      </c>
      <c r="C25" s="168">
        <v>8582</v>
      </c>
      <c r="D25" s="168">
        <v>24056</v>
      </c>
      <c r="E25" s="168">
        <v>11351</v>
      </c>
      <c r="F25" s="168">
        <v>12705</v>
      </c>
      <c r="G25" s="169">
        <f>E25/F25*100</f>
        <v>89.34277843368751</v>
      </c>
      <c r="H25" s="173">
        <f t="shared" si="2"/>
        <v>2.8030762060125847</v>
      </c>
      <c r="I25" s="174">
        <f>D25/J24</f>
        <v>218.67102990637213</v>
      </c>
      <c r="J25" s="172"/>
      <c r="L25" s="1"/>
      <c r="M25" s="1"/>
    </row>
    <row r="26" spans="1:13" ht="31.5" customHeight="1">
      <c r="A26" s="166">
        <v>18</v>
      </c>
      <c r="B26" s="166">
        <v>17</v>
      </c>
      <c r="C26" s="168">
        <v>9061</v>
      </c>
      <c r="D26" s="168">
        <v>24545</v>
      </c>
      <c r="E26" s="168">
        <v>11499</v>
      </c>
      <c r="F26" s="168">
        <v>13046</v>
      </c>
      <c r="G26" s="169">
        <f>E26/F26*100</f>
        <v>88.14195922121723</v>
      </c>
      <c r="H26" s="173">
        <f t="shared" si="2"/>
        <v>2.708862156494868</v>
      </c>
      <c r="I26" s="174">
        <f>D26/J24</f>
        <v>223.11608035633122</v>
      </c>
      <c r="J26" s="172"/>
      <c r="L26" s="1"/>
      <c r="M26" s="1"/>
    </row>
    <row r="27" spans="1:13" ht="31.5" customHeight="1">
      <c r="A27" s="175">
        <v>19</v>
      </c>
      <c r="B27" s="85">
        <v>22</v>
      </c>
      <c r="C27" s="26">
        <v>9503</v>
      </c>
      <c r="D27" s="26">
        <v>24800</v>
      </c>
      <c r="E27" s="26">
        <v>11497</v>
      </c>
      <c r="F27" s="26">
        <v>13303</v>
      </c>
      <c r="G27" s="176">
        <f>E27/F27*100</f>
        <v>86.42411486130948</v>
      </c>
      <c r="H27" s="123">
        <f t="shared" si="2"/>
        <v>2.6097021993054823</v>
      </c>
      <c r="I27" s="124">
        <f>D27/J24</f>
        <v>225.43405144986818</v>
      </c>
      <c r="J27" s="177"/>
      <c r="L27" s="51"/>
      <c r="M27" s="1"/>
    </row>
    <row r="28" spans="1:13" ht="31.5" customHeight="1">
      <c r="A28" s="178">
        <v>20</v>
      </c>
      <c r="B28" s="85">
        <v>27</v>
      </c>
      <c r="C28" s="26">
        <v>9967</v>
      </c>
      <c r="D28" s="26">
        <v>25404</v>
      </c>
      <c r="E28" s="26">
        <v>11778</v>
      </c>
      <c r="F28" s="26">
        <v>13626</v>
      </c>
      <c r="G28" s="176">
        <v>86.43769264641126</v>
      </c>
      <c r="H28" s="123">
        <v>2.5488110765526235</v>
      </c>
      <c r="I28" s="124">
        <v>230.903472095983</v>
      </c>
      <c r="J28" s="179">
        <v>110.02</v>
      </c>
      <c r="L28" s="51"/>
      <c r="M28" s="1"/>
    </row>
    <row r="29" spans="1:13" s="129" customFormat="1" ht="31.5" customHeight="1" thickBot="1">
      <c r="A29" s="184">
        <v>21</v>
      </c>
      <c r="B29" s="185" t="s">
        <v>253</v>
      </c>
      <c r="C29" s="186">
        <v>10203</v>
      </c>
      <c r="D29" s="186">
        <v>25591</v>
      </c>
      <c r="E29" s="186">
        <v>11932</v>
      </c>
      <c r="F29" s="186">
        <v>13659</v>
      </c>
      <c r="G29" s="360">
        <f>E29/F29*100</f>
        <v>87.35632183908046</v>
      </c>
      <c r="H29" s="187">
        <v>2.5</v>
      </c>
      <c r="I29" s="187">
        <f>D29/J28</f>
        <v>232.6031630612616</v>
      </c>
      <c r="J29" s="188"/>
      <c r="L29" s="189"/>
      <c r="M29" s="189"/>
    </row>
    <row r="30" spans="1:3" s="129" customFormat="1" ht="24" customHeight="1">
      <c r="A30" s="190" t="s">
        <v>251</v>
      </c>
      <c r="B30" s="138"/>
      <c r="C30" s="138"/>
    </row>
    <row r="31" spans="1:8" ht="24" customHeight="1">
      <c r="A31" s="389"/>
      <c r="B31" s="389"/>
      <c r="C31" s="389"/>
      <c r="D31" s="390"/>
      <c r="E31" s="390"/>
      <c r="G31" s="1"/>
      <c r="H31" s="2"/>
    </row>
    <row r="32" spans="7:8" ht="30" customHeight="1">
      <c r="G32" s="1"/>
      <c r="H32" s="2"/>
    </row>
    <row r="33" spans="7:8" ht="30" customHeight="1">
      <c r="G33" s="1"/>
      <c r="H33" s="2"/>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sheetData>
  <sheetProtection/>
  <mergeCells count="11">
    <mergeCell ref="A31:E31"/>
    <mergeCell ref="I7:I8"/>
    <mergeCell ref="J7:J8"/>
    <mergeCell ref="A5:J5"/>
    <mergeCell ref="D7:F7"/>
    <mergeCell ref="H7:H8"/>
    <mergeCell ref="A3:J3"/>
    <mergeCell ref="A7:A8"/>
    <mergeCell ref="B7:B8"/>
    <mergeCell ref="I1:K1"/>
    <mergeCell ref="C7:C8"/>
  </mergeCells>
  <printOptions/>
  <pageMargins left="0.984251968503937" right="0.3937007874015748" top="0.984251968503937" bottom="0.5905511811023623" header="0.5118110236220472" footer="0.5118110236220472"/>
  <pageSetup fitToHeight="1" fitToWidth="1" horizontalDpi="1200" verticalDpi="1200" orientation="portrait" paperSize="9" scale="96" r:id="rId1"/>
</worksheet>
</file>

<file path=xl/worksheets/sheet2.xml><?xml version="1.0" encoding="utf-8"?>
<worksheet xmlns="http://schemas.openxmlformats.org/spreadsheetml/2006/main" xmlns:r="http://schemas.openxmlformats.org/officeDocument/2006/relationships">
  <dimension ref="A1:P56"/>
  <sheetViews>
    <sheetView showGridLines="0" zoomScaleSheetLayoutView="100" zoomScalePageLayoutView="0" workbookViewId="0" topLeftCell="A1">
      <selection activeCell="A1" sqref="A1:B1"/>
    </sheetView>
  </sheetViews>
  <sheetFormatPr defaultColWidth="9.00390625" defaultRowHeight="13.5"/>
  <cols>
    <col min="1" max="1" width="6.625" style="0" customWidth="1"/>
    <col min="2" max="6" width="13.625" style="30" customWidth="1"/>
    <col min="7" max="7" width="13.625" style="180" customWidth="1"/>
    <col min="8" max="13" width="13.625" style="30" customWidth="1"/>
    <col min="14" max="14" width="6.625" style="0" customWidth="1"/>
    <col min="15" max="16384" width="9.00390625" style="30" customWidth="1"/>
  </cols>
  <sheetData>
    <row r="1" spans="1:14" ht="13.5">
      <c r="A1" s="397" t="s">
        <v>315</v>
      </c>
      <c r="B1" s="397"/>
      <c r="M1" s="388" t="s">
        <v>316</v>
      </c>
      <c r="N1" s="388"/>
    </row>
    <row r="2" spans="2:13" ht="13.5">
      <c r="B2" s="6"/>
      <c r="M2" s="5"/>
    </row>
    <row r="3" spans="2:13" ht="17.25">
      <c r="B3" s="394" t="s">
        <v>223</v>
      </c>
      <c r="C3" s="396"/>
      <c r="D3" s="396"/>
      <c r="E3" s="396"/>
      <c r="F3" s="396"/>
      <c r="G3" s="396"/>
      <c r="H3" s="398"/>
      <c r="I3" s="399"/>
      <c r="J3" s="399"/>
      <c r="K3" s="399"/>
      <c r="L3" s="399"/>
      <c r="M3" s="399"/>
    </row>
    <row r="4" spans="2:13" ht="14.25" thickBot="1">
      <c r="B4" s="35"/>
      <c r="C4" s="35"/>
      <c r="D4" s="35"/>
      <c r="E4" s="35"/>
      <c r="F4" s="35"/>
      <c r="G4" s="181"/>
      <c r="H4" s="35"/>
      <c r="I4" s="35"/>
      <c r="J4" s="35"/>
      <c r="K4" s="400" t="s">
        <v>266</v>
      </c>
      <c r="L4" s="401"/>
      <c r="M4" s="401"/>
    </row>
    <row r="5" spans="2:15" ht="18" customHeight="1" thickTop="1">
      <c r="B5" s="73" t="s">
        <v>7</v>
      </c>
      <c r="C5" s="151" t="s">
        <v>228</v>
      </c>
      <c r="D5" s="74" t="s">
        <v>8</v>
      </c>
      <c r="E5" s="74" t="s">
        <v>9</v>
      </c>
      <c r="F5" s="74" t="s">
        <v>7</v>
      </c>
      <c r="G5" s="378" t="s">
        <v>228</v>
      </c>
      <c r="H5" s="73" t="s">
        <v>8</v>
      </c>
      <c r="I5" s="74" t="s">
        <v>9</v>
      </c>
      <c r="J5" s="74" t="s">
        <v>7</v>
      </c>
      <c r="K5" s="151" t="s">
        <v>228</v>
      </c>
      <c r="L5" s="74" t="s">
        <v>8</v>
      </c>
      <c r="M5" s="75" t="s">
        <v>9</v>
      </c>
      <c r="O5" s="51"/>
    </row>
    <row r="6" spans="2:15" ht="13.5">
      <c r="B6" s="7" t="s">
        <v>10</v>
      </c>
      <c r="C6" s="191">
        <f>C7+C8+C9+C10+C11</f>
        <v>1323</v>
      </c>
      <c r="D6" s="192">
        <f>SUM(D7:D11)</f>
        <v>695</v>
      </c>
      <c r="E6" s="192">
        <f>SUM(E7:E11)</f>
        <v>628</v>
      </c>
      <c r="F6" s="8" t="s">
        <v>11</v>
      </c>
      <c r="G6" s="193">
        <f>SUM(H6:I6)</f>
        <v>1644</v>
      </c>
      <c r="H6" s="197">
        <f>SUM(H7:H11)</f>
        <v>790</v>
      </c>
      <c r="I6" s="192">
        <f>SUM(I7:I11)</f>
        <v>854</v>
      </c>
      <c r="J6" s="8" t="s">
        <v>30</v>
      </c>
      <c r="K6" s="191">
        <f>SUM(K7:K11)</f>
        <v>1749</v>
      </c>
      <c r="L6" s="192">
        <f>SUM(L7:L11)</f>
        <v>840</v>
      </c>
      <c r="M6" s="198">
        <f>SUM(M7:M11)</f>
        <v>909</v>
      </c>
      <c r="N6" s="30"/>
      <c r="O6" s="51"/>
    </row>
    <row r="7" spans="2:15" ht="13.5">
      <c r="B7" s="72">
        <v>0</v>
      </c>
      <c r="C7" s="31">
        <f>D7+E7</f>
        <v>223</v>
      </c>
      <c r="D7" s="31">
        <v>116</v>
      </c>
      <c r="E7" s="31">
        <v>107</v>
      </c>
      <c r="F7" s="71">
        <v>35</v>
      </c>
      <c r="G7" s="379">
        <f aca="true" t="shared" si="0" ref="G7:G47">SUM(H7:I7)</f>
        <v>319</v>
      </c>
      <c r="H7" s="76">
        <v>149</v>
      </c>
      <c r="I7" s="31">
        <v>170</v>
      </c>
      <c r="J7" s="71">
        <v>70</v>
      </c>
      <c r="K7" s="31">
        <f>SUM(L7:M7)</f>
        <v>371</v>
      </c>
      <c r="L7" s="31">
        <v>178</v>
      </c>
      <c r="M7" s="199">
        <v>193</v>
      </c>
      <c r="N7" s="30"/>
      <c r="O7" s="51"/>
    </row>
    <row r="8" spans="2:15" ht="13.5">
      <c r="B8" s="72">
        <v>1</v>
      </c>
      <c r="C8" s="31">
        <f>SUM(D8:E8)</f>
        <v>245</v>
      </c>
      <c r="D8" s="31">
        <v>137</v>
      </c>
      <c r="E8" s="31">
        <v>108</v>
      </c>
      <c r="F8" s="71">
        <v>36</v>
      </c>
      <c r="G8" s="379">
        <f t="shared" si="0"/>
        <v>305</v>
      </c>
      <c r="H8" s="31">
        <v>140</v>
      </c>
      <c r="I8" s="81">
        <v>165</v>
      </c>
      <c r="J8" s="71">
        <v>71</v>
      </c>
      <c r="K8" s="31">
        <f>SUM(L8:M8)</f>
        <v>446</v>
      </c>
      <c r="L8" s="31">
        <v>218</v>
      </c>
      <c r="M8" s="199">
        <v>228</v>
      </c>
      <c r="N8" s="30"/>
      <c r="O8" s="51"/>
    </row>
    <row r="9" spans="2:15" ht="13.5">
      <c r="B9" s="72">
        <v>2</v>
      </c>
      <c r="C9" s="31">
        <f>SUM(D9:E9)</f>
        <v>274</v>
      </c>
      <c r="D9" s="31">
        <v>146</v>
      </c>
      <c r="E9" s="31">
        <v>128</v>
      </c>
      <c r="F9" s="71">
        <v>37</v>
      </c>
      <c r="G9" s="379">
        <f t="shared" si="0"/>
        <v>326</v>
      </c>
      <c r="H9" s="31">
        <v>168</v>
      </c>
      <c r="I9" s="81">
        <v>158</v>
      </c>
      <c r="J9" s="71">
        <v>72</v>
      </c>
      <c r="K9" s="31">
        <f>SUM(L9:M9)</f>
        <v>368</v>
      </c>
      <c r="L9" s="31">
        <v>178</v>
      </c>
      <c r="M9" s="199">
        <v>190</v>
      </c>
      <c r="N9" s="30"/>
      <c r="O9" s="51"/>
    </row>
    <row r="10" spans="2:15" ht="13.5">
      <c r="B10" s="72">
        <v>3</v>
      </c>
      <c r="C10" s="31">
        <f>SUM(D10:E10)</f>
        <v>275</v>
      </c>
      <c r="D10" s="31">
        <v>144</v>
      </c>
      <c r="E10" s="31">
        <v>131</v>
      </c>
      <c r="F10" s="71">
        <v>38</v>
      </c>
      <c r="G10" s="379">
        <f t="shared" si="0"/>
        <v>367</v>
      </c>
      <c r="H10" s="31">
        <v>167</v>
      </c>
      <c r="I10" s="81">
        <v>200</v>
      </c>
      <c r="J10" s="71">
        <v>73</v>
      </c>
      <c r="K10" s="31">
        <f>SUM(L10:M10)</f>
        <v>351</v>
      </c>
      <c r="L10" s="31">
        <v>173</v>
      </c>
      <c r="M10" s="199">
        <v>178</v>
      </c>
      <c r="N10" s="30"/>
      <c r="O10" s="51"/>
    </row>
    <row r="11" spans="2:15" ht="13.5">
      <c r="B11" s="72">
        <v>4</v>
      </c>
      <c r="C11" s="31">
        <f>SUM(D11:E11)</f>
        <v>306</v>
      </c>
      <c r="D11" s="31">
        <v>152</v>
      </c>
      <c r="E11" s="31">
        <v>154</v>
      </c>
      <c r="F11" s="71">
        <v>39</v>
      </c>
      <c r="G11" s="379">
        <f t="shared" si="0"/>
        <v>327</v>
      </c>
      <c r="H11" s="31">
        <v>166</v>
      </c>
      <c r="I11" s="81">
        <v>161</v>
      </c>
      <c r="J11" s="71">
        <v>74</v>
      </c>
      <c r="K11" s="31">
        <f>SUM(L11:M11)</f>
        <v>213</v>
      </c>
      <c r="L11" s="31">
        <v>93</v>
      </c>
      <c r="M11" s="199">
        <v>120</v>
      </c>
      <c r="N11" s="30"/>
      <c r="O11" s="51"/>
    </row>
    <row r="12" spans="2:15" ht="13.5">
      <c r="B12" s="7" t="s">
        <v>12</v>
      </c>
      <c r="C12" s="191">
        <f>SUM(C13:C17)</f>
        <v>1616</v>
      </c>
      <c r="D12" s="192">
        <f>SUM(D13:D17)</f>
        <v>835</v>
      </c>
      <c r="E12" s="192">
        <f>SUM(E13:E17)</f>
        <v>781</v>
      </c>
      <c r="F12" s="8" t="s">
        <v>13</v>
      </c>
      <c r="G12" s="193">
        <f t="shared" si="0"/>
        <v>1701</v>
      </c>
      <c r="H12" s="197">
        <f>SUM(H13:H17)</f>
        <v>834</v>
      </c>
      <c r="I12" s="192">
        <f>SUM(I13:I17)</f>
        <v>867</v>
      </c>
      <c r="J12" s="8" t="s">
        <v>31</v>
      </c>
      <c r="K12" s="191">
        <f>SUM(K13:K17)</f>
        <v>1239</v>
      </c>
      <c r="L12" s="192">
        <f>SUM(L13:L17)</f>
        <v>535</v>
      </c>
      <c r="M12" s="198">
        <f>SUM(M13:M17)</f>
        <v>704</v>
      </c>
      <c r="N12" s="30"/>
      <c r="O12" s="51"/>
    </row>
    <row r="13" spans="2:15" ht="13.5">
      <c r="B13" s="72">
        <v>5</v>
      </c>
      <c r="C13" s="31">
        <f>SUM(D13:E13)</f>
        <v>310</v>
      </c>
      <c r="D13" s="31">
        <v>174</v>
      </c>
      <c r="E13" s="31">
        <v>136</v>
      </c>
      <c r="F13" s="71">
        <v>40</v>
      </c>
      <c r="G13" s="379">
        <f t="shared" si="0"/>
        <v>366</v>
      </c>
      <c r="H13" s="76">
        <v>180</v>
      </c>
      <c r="I13" s="31">
        <v>186</v>
      </c>
      <c r="J13" s="71">
        <v>75</v>
      </c>
      <c r="K13" s="31">
        <f>SUM(L13:M13)</f>
        <v>215</v>
      </c>
      <c r="L13" s="31">
        <v>102</v>
      </c>
      <c r="M13" s="199">
        <v>113</v>
      </c>
      <c r="N13" s="30"/>
      <c r="O13" s="51"/>
    </row>
    <row r="14" spans="2:15" ht="13.5">
      <c r="B14" s="72">
        <v>6</v>
      </c>
      <c r="C14" s="31">
        <f>SUM(D14:E14)</f>
        <v>313</v>
      </c>
      <c r="D14" s="31">
        <v>166</v>
      </c>
      <c r="E14" s="31">
        <v>147</v>
      </c>
      <c r="F14" s="71">
        <v>41</v>
      </c>
      <c r="G14" s="379">
        <f t="shared" si="0"/>
        <v>351</v>
      </c>
      <c r="H14" s="76">
        <v>182</v>
      </c>
      <c r="I14" s="31">
        <v>169</v>
      </c>
      <c r="J14" s="71">
        <v>76</v>
      </c>
      <c r="K14" s="31">
        <f>SUM(L14:M14)</f>
        <v>260</v>
      </c>
      <c r="L14" s="31">
        <v>114</v>
      </c>
      <c r="M14" s="199">
        <v>146</v>
      </c>
      <c r="N14" s="30"/>
      <c r="O14" s="51"/>
    </row>
    <row r="15" spans="2:16" ht="13.5">
      <c r="B15" s="72">
        <v>7</v>
      </c>
      <c r="C15" s="31">
        <f>SUM(D15:E15)</f>
        <v>317</v>
      </c>
      <c r="D15" s="31">
        <v>164</v>
      </c>
      <c r="E15" s="31">
        <v>153</v>
      </c>
      <c r="F15" s="71">
        <v>42</v>
      </c>
      <c r="G15" s="379">
        <f t="shared" si="0"/>
        <v>350</v>
      </c>
      <c r="H15" s="76">
        <v>169</v>
      </c>
      <c r="I15" s="31">
        <v>181</v>
      </c>
      <c r="J15" s="71">
        <v>77</v>
      </c>
      <c r="K15" s="31">
        <f>SUM(L15:M15)</f>
        <v>254</v>
      </c>
      <c r="L15" s="31">
        <v>112</v>
      </c>
      <c r="M15" s="199">
        <v>142</v>
      </c>
      <c r="N15" s="30"/>
      <c r="O15" s="51"/>
      <c r="P15" s="77"/>
    </row>
    <row r="16" spans="2:15" ht="13.5">
      <c r="B16" s="72">
        <v>8</v>
      </c>
      <c r="C16" s="31">
        <f>SUM(D16:E16)</f>
        <v>334</v>
      </c>
      <c r="D16" s="31">
        <v>159</v>
      </c>
      <c r="E16" s="31">
        <v>175</v>
      </c>
      <c r="F16" s="71">
        <v>43</v>
      </c>
      <c r="G16" s="379">
        <f t="shared" si="0"/>
        <v>324</v>
      </c>
      <c r="H16" s="76">
        <v>156</v>
      </c>
      <c r="I16" s="31">
        <v>168</v>
      </c>
      <c r="J16" s="71">
        <v>78</v>
      </c>
      <c r="K16" s="31">
        <f>SUM(L16:M16)</f>
        <v>242</v>
      </c>
      <c r="L16" s="31">
        <v>102</v>
      </c>
      <c r="M16" s="199">
        <v>140</v>
      </c>
      <c r="N16" s="30"/>
      <c r="O16" s="51"/>
    </row>
    <row r="17" spans="2:15" ht="13.5">
      <c r="B17" s="72">
        <v>9</v>
      </c>
      <c r="C17" s="31">
        <f>SUM(D17:E17)</f>
        <v>342</v>
      </c>
      <c r="D17" s="31">
        <v>172</v>
      </c>
      <c r="E17" s="31">
        <v>170</v>
      </c>
      <c r="F17" s="71">
        <v>44</v>
      </c>
      <c r="G17" s="379">
        <f t="shared" si="0"/>
        <v>310</v>
      </c>
      <c r="H17" s="76">
        <v>147</v>
      </c>
      <c r="I17" s="31">
        <v>163</v>
      </c>
      <c r="J17" s="71">
        <v>79</v>
      </c>
      <c r="K17" s="31">
        <f>SUM(L17:M17)</f>
        <v>268</v>
      </c>
      <c r="L17" s="31">
        <v>105</v>
      </c>
      <c r="M17" s="199">
        <v>163</v>
      </c>
      <c r="N17" s="30"/>
      <c r="O17" s="51"/>
    </row>
    <row r="18" spans="2:15" ht="13.5">
      <c r="B18" s="7" t="s">
        <v>14</v>
      </c>
      <c r="C18" s="191">
        <f>SUM(C19:C23)</f>
        <v>1471</v>
      </c>
      <c r="D18" s="192">
        <f>SUM(D19:D23)</f>
        <v>751</v>
      </c>
      <c r="E18" s="192">
        <f>SUM(E19:E23)</f>
        <v>720</v>
      </c>
      <c r="F18" s="8" t="s">
        <v>15</v>
      </c>
      <c r="G18" s="193">
        <f t="shared" si="0"/>
        <v>1579</v>
      </c>
      <c r="H18" s="197">
        <f>SUM(H19:H23)</f>
        <v>761</v>
      </c>
      <c r="I18" s="192">
        <f>SUM(I19:I23)</f>
        <v>818</v>
      </c>
      <c r="J18" s="8" t="s">
        <v>32</v>
      </c>
      <c r="K18" s="191">
        <f>SUM(K19:K23)</f>
        <v>1051</v>
      </c>
      <c r="L18" s="192">
        <f>SUM(L19:L23)</f>
        <v>437</v>
      </c>
      <c r="M18" s="198">
        <f>SUM(M19:M23)</f>
        <v>614</v>
      </c>
      <c r="N18" s="30"/>
      <c r="O18" s="51"/>
    </row>
    <row r="19" spans="2:16" ht="13.5">
      <c r="B19" s="72">
        <v>10</v>
      </c>
      <c r="C19" s="31">
        <f>SUM(D19:E19)</f>
        <v>306</v>
      </c>
      <c r="D19" s="31">
        <v>160</v>
      </c>
      <c r="E19" s="31">
        <v>146</v>
      </c>
      <c r="F19" s="71">
        <v>45</v>
      </c>
      <c r="G19" s="379">
        <f t="shared" si="0"/>
        <v>317</v>
      </c>
      <c r="H19" s="31">
        <v>157</v>
      </c>
      <c r="I19" s="81">
        <v>160</v>
      </c>
      <c r="J19" s="71">
        <v>80</v>
      </c>
      <c r="K19" s="31">
        <f>SUM(L19:M19)</f>
        <v>197</v>
      </c>
      <c r="L19" s="31">
        <v>91</v>
      </c>
      <c r="M19" s="199">
        <v>106</v>
      </c>
      <c r="N19" s="30"/>
      <c r="O19" s="51"/>
      <c r="P19" s="77"/>
    </row>
    <row r="20" spans="2:15" ht="13.5">
      <c r="B20" s="72">
        <v>11</v>
      </c>
      <c r="C20" s="31">
        <f>SUM(D20:E20)</f>
        <v>320</v>
      </c>
      <c r="D20" s="31">
        <v>153</v>
      </c>
      <c r="E20" s="31">
        <v>167</v>
      </c>
      <c r="F20" s="71">
        <v>46</v>
      </c>
      <c r="G20" s="379">
        <f t="shared" si="0"/>
        <v>343</v>
      </c>
      <c r="H20" s="31">
        <v>160</v>
      </c>
      <c r="I20" s="81">
        <v>183</v>
      </c>
      <c r="J20" s="71">
        <v>81</v>
      </c>
      <c r="K20" s="31">
        <f>SUM(L20:M20)</f>
        <v>220</v>
      </c>
      <c r="L20" s="31">
        <v>90</v>
      </c>
      <c r="M20" s="199">
        <v>130</v>
      </c>
      <c r="N20" s="30"/>
      <c r="O20" s="51"/>
    </row>
    <row r="21" spans="2:15" ht="13.5">
      <c r="B21" s="72">
        <v>12</v>
      </c>
      <c r="C21" s="31">
        <f>SUM(D21:E21)</f>
        <v>281</v>
      </c>
      <c r="D21" s="31">
        <v>148</v>
      </c>
      <c r="E21" s="31">
        <v>133</v>
      </c>
      <c r="F21" s="71">
        <v>47</v>
      </c>
      <c r="G21" s="379">
        <f t="shared" si="0"/>
        <v>333</v>
      </c>
      <c r="H21" s="31">
        <v>154</v>
      </c>
      <c r="I21" s="81">
        <v>179</v>
      </c>
      <c r="J21" s="71">
        <v>82</v>
      </c>
      <c r="K21" s="31">
        <f>SUM(L21:M21)</f>
        <v>197</v>
      </c>
      <c r="L21" s="31">
        <v>78</v>
      </c>
      <c r="M21" s="199">
        <v>119</v>
      </c>
      <c r="N21" s="30"/>
      <c r="O21" s="51"/>
    </row>
    <row r="22" spans="2:15" ht="13.5">
      <c r="B22" s="72">
        <v>13</v>
      </c>
      <c r="C22" s="31">
        <f>SUM(D22:E22)</f>
        <v>250</v>
      </c>
      <c r="D22" s="31">
        <v>131</v>
      </c>
      <c r="E22" s="31">
        <v>119</v>
      </c>
      <c r="F22" s="71">
        <v>48</v>
      </c>
      <c r="G22" s="379">
        <f t="shared" si="0"/>
        <v>285</v>
      </c>
      <c r="H22" s="31">
        <v>143</v>
      </c>
      <c r="I22" s="81">
        <v>142</v>
      </c>
      <c r="J22" s="71">
        <v>83</v>
      </c>
      <c r="K22" s="31">
        <f>SUM(L22:M22)</f>
        <v>240</v>
      </c>
      <c r="L22" s="31">
        <v>97</v>
      </c>
      <c r="M22" s="199">
        <v>143</v>
      </c>
      <c r="N22" s="30"/>
      <c r="O22" s="51"/>
    </row>
    <row r="23" spans="2:15" ht="13.5">
      <c r="B23" s="72">
        <v>14</v>
      </c>
      <c r="C23" s="31">
        <f>SUM(D23:E23)</f>
        <v>314</v>
      </c>
      <c r="D23" s="31">
        <v>159</v>
      </c>
      <c r="E23" s="31">
        <v>155</v>
      </c>
      <c r="F23" s="71">
        <v>49</v>
      </c>
      <c r="G23" s="379">
        <f t="shared" si="0"/>
        <v>301</v>
      </c>
      <c r="H23" s="31">
        <v>147</v>
      </c>
      <c r="I23" s="81">
        <v>154</v>
      </c>
      <c r="J23" s="71">
        <v>84</v>
      </c>
      <c r="K23" s="31">
        <f>SUM(L23:M23)</f>
        <v>197</v>
      </c>
      <c r="L23" s="31">
        <v>81</v>
      </c>
      <c r="M23" s="199">
        <v>116</v>
      </c>
      <c r="N23" s="30"/>
      <c r="O23" s="51"/>
    </row>
    <row r="24" spans="2:15" ht="13.5">
      <c r="B24" s="7" t="s">
        <v>16</v>
      </c>
      <c r="C24" s="191">
        <f>SUM(C25:C29)</f>
        <v>1217</v>
      </c>
      <c r="D24" s="192">
        <f>SUM(D25:D29)</f>
        <v>607</v>
      </c>
      <c r="E24" s="192">
        <f>SUM(E25:E29)</f>
        <v>610</v>
      </c>
      <c r="F24" s="8" t="s">
        <v>17</v>
      </c>
      <c r="G24" s="193">
        <f t="shared" si="0"/>
        <v>1395</v>
      </c>
      <c r="H24" s="197">
        <f>SUM(H25:H29)</f>
        <v>638</v>
      </c>
      <c r="I24" s="192">
        <f>SUM(I25:I29)</f>
        <v>757</v>
      </c>
      <c r="J24" s="8" t="s">
        <v>33</v>
      </c>
      <c r="K24" s="192">
        <f>SUM(K25:K29)</f>
        <v>798</v>
      </c>
      <c r="L24" s="192">
        <f>SUM(L25:L29)</f>
        <v>240</v>
      </c>
      <c r="M24" s="198">
        <f>SUM(M25:M29)</f>
        <v>558</v>
      </c>
      <c r="N24" s="30"/>
      <c r="O24" s="51"/>
    </row>
    <row r="25" spans="2:15" ht="13.5">
      <c r="B25" s="72">
        <v>15</v>
      </c>
      <c r="C25" s="31">
        <f>SUM(D25:E25)</f>
        <v>254</v>
      </c>
      <c r="D25" s="31">
        <v>133</v>
      </c>
      <c r="E25" s="31">
        <v>121</v>
      </c>
      <c r="F25" s="71">
        <v>50</v>
      </c>
      <c r="G25" s="379">
        <f t="shared" si="0"/>
        <v>280</v>
      </c>
      <c r="H25" s="76">
        <v>111</v>
      </c>
      <c r="I25" s="31">
        <v>169</v>
      </c>
      <c r="J25" s="71">
        <v>85</v>
      </c>
      <c r="K25" s="31">
        <f>SUM(L25:M25)</f>
        <v>203</v>
      </c>
      <c r="L25" s="31">
        <v>71</v>
      </c>
      <c r="M25" s="199">
        <v>132</v>
      </c>
      <c r="N25" s="30"/>
      <c r="O25" s="51"/>
    </row>
    <row r="26" spans="2:15" ht="13.5">
      <c r="B26" s="72">
        <v>16</v>
      </c>
      <c r="C26" s="31">
        <f>SUM(D26:E26)</f>
        <v>293</v>
      </c>
      <c r="D26" s="31">
        <v>160</v>
      </c>
      <c r="E26" s="31">
        <v>133</v>
      </c>
      <c r="F26" s="71">
        <v>51</v>
      </c>
      <c r="G26" s="379">
        <f t="shared" si="0"/>
        <v>297</v>
      </c>
      <c r="H26" s="76">
        <v>150</v>
      </c>
      <c r="I26" s="31">
        <v>147</v>
      </c>
      <c r="J26" s="71">
        <v>86</v>
      </c>
      <c r="K26" s="31">
        <f>SUM(L26:M26)</f>
        <v>161</v>
      </c>
      <c r="L26" s="31">
        <v>49</v>
      </c>
      <c r="M26" s="199">
        <v>112</v>
      </c>
      <c r="N26" s="30"/>
      <c r="O26" s="51"/>
    </row>
    <row r="27" spans="2:15" ht="13.5">
      <c r="B27" s="72">
        <v>17</v>
      </c>
      <c r="C27" s="31">
        <f>SUM(D27:E27)</f>
        <v>260</v>
      </c>
      <c r="D27" s="31">
        <v>132</v>
      </c>
      <c r="E27" s="31">
        <v>128</v>
      </c>
      <c r="F27" s="71">
        <v>52</v>
      </c>
      <c r="G27" s="379">
        <f t="shared" si="0"/>
        <v>324</v>
      </c>
      <c r="H27" s="76">
        <v>151</v>
      </c>
      <c r="I27" s="31">
        <v>173</v>
      </c>
      <c r="J27" s="71">
        <v>87</v>
      </c>
      <c r="K27" s="31">
        <f>SUM(L27:M27)</f>
        <v>162</v>
      </c>
      <c r="L27" s="31">
        <v>50</v>
      </c>
      <c r="M27" s="199">
        <v>112</v>
      </c>
      <c r="N27" s="30"/>
      <c r="O27" s="51"/>
    </row>
    <row r="28" spans="2:15" ht="13.5">
      <c r="B28" s="72">
        <v>18</v>
      </c>
      <c r="C28" s="31">
        <f>SUM(D28:E28)</f>
        <v>248</v>
      </c>
      <c r="D28" s="31">
        <v>121</v>
      </c>
      <c r="E28" s="31">
        <v>127</v>
      </c>
      <c r="F28" s="71">
        <v>53</v>
      </c>
      <c r="G28" s="379">
        <f t="shared" si="0"/>
        <v>272</v>
      </c>
      <c r="H28" s="76">
        <v>135</v>
      </c>
      <c r="I28" s="31">
        <v>137</v>
      </c>
      <c r="J28" s="71">
        <v>88</v>
      </c>
      <c r="K28" s="31">
        <f>SUM(L28:M28)</f>
        <v>140</v>
      </c>
      <c r="L28" s="31">
        <v>38</v>
      </c>
      <c r="M28" s="199">
        <v>102</v>
      </c>
      <c r="N28" s="30"/>
      <c r="O28" s="51"/>
    </row>
    <row r="29" spans="1:15" ht="13.5">
      <c r="A29" s="30"/>
      <c r="B29" s="72">
        <v>19</v>
      </c>
      <c r="C29" s="31">
        <f>SUM(D29:E29)</f>
        <v>162</v>
      </c>
      <c r="D29" s="31">
        <v>61</v>
      </c>
      <c r="E29" s="31">
        <v>101</v>
      </c>
      <c r="F29" s="71">
        <v>54</v>
      </c>
      <c r="G29" s="379">
        <f t="shared" si="0"/>
        <v>222</v>
      </c>
      <c r="H29" s="76">
        <v>91</v>
      </c>
      <c r="I29" s="31">
        <v>131</v>
      </c>
      <c r="J29" s="71">
        <v>89</v>
      </c>
      <c r="K29" s="31">
        <f>SUM(L29:M29)</f>
        <v>132</v>
      </c>
      <c r="L29" s="31">
        <v>32</v>
      </c>
      <c r="M29" s="199">
        <v>100</v>
      </c>
      <c r="N29" s="30"/>
      <c r="O29" s="51"/>
    </row>
    <row r="30" spans="2:15" ht="13.5">
      <c r="B30" s="7" t="s">
        <v>18</v>
      </c>
      <c r="C30" s="191">
        <f>SUM(C31:C35)</f>
        <v>824</v>
      </c>
      <c r="D30" s="192">
        <f>SUM(D31:D35)</f>
        <v>361</v>
      </c>
      <c r="E30" s="192">
        <f>SUM(E31:E35)</f>
        <v>463</v>
      </c>
      <c r="F30" s="8" t="s">
        <v>19</v>
      </c>
      <c r="G30" s="193">
        <f t="shared" si="0"/>
        <v>1538</v>
      </c>
      <c r="H30" s="197">
        <f>SUM(H31:H35)</f>
        <v>698</v>
      </c>
      <c r="I30" s="192">
        <f>SUM(I31:I35)</f>
        <v>840</v>
      </c>
      <c r="J30" s="8" t="s">
        <v>34</v>
      </c>
      <c r="K30" s="192">
        <f>SUM(K31:K35)</f>
        <v>417</v>
      </c>
      <c r="L30" s="192">
        <f>SUM(L31:L35)</f>
        <v>113</v>
      </c>
      <c r="M30" s="198">
        <f>SUM(M31:M35)</f>
        <v>304</v>
      </c>
      <c r="N30" s="30"/>
      <c r="O30" s="51"/>
    </row>
    <row r="31" spans="2:15" ht="13.5">
      <c r="B31" s="72">
        <v>20</v>
      </c>
      <c r="C31" s="31">
        <f>SUM(D31:E31)</f>
        <v>176</v>
      </c>
      <c r="D31" s="31">
        <v>78</v>
      </c>
      <c r="E31" s="31">
        <v>98</v>
      </c>
      <c r="F31" s="71">
        <v>55</v>
      </c>
      <c r="G31" s="379">
        <f t="shared" si="0"/>
        <v>307</v>
      </c>
      <c r="H31" s="76">
        <v>144</v>
      </c>
      <c r="I31" s="31">
        <v>163</v>
      </c>
      <c r="J31" s="71">
        <v>90</v>
      </c>
      <c r="K31" s="31">
        <f>SUM(L31:M31)</f>
        <v>104</v>
      </c>
      <c r="L31" s="31">
        <v>34</v>
      </c>
      <c r="M31" s="199">
        <v>70</v>
      </c>
      <c r="N31" s="30"/>
      <c r="O31" s="51"/>
    </row>
    <row r="32" spans="2:15" ht="13.5">
      <c r="B32" s="72">
        <v>21</v>
      </c>
      <c r="C32" s="31">
        <f>SUM(D32:E32)</f>
        <v>165</v>
      </c>
      <c r="D32" s="31">
        <v>72</v>
      </c>
      <c r="E32" s="31">
        <v>93</v>
      </c>
      <c r="F32" s="71">
        <v>56</v>
      </c>
      <c r="G32" s="379">
        <f t="shared" si="0"/>
        <v>314</v>
      </c>
      <c r="H32" s="76">
        <v>148</v>
      </c>
      <c r="I32" s="31">
        <v>166</v>
      </c>
      <c r="J32" s="71">
        <v>91</v>
      </c>
      <c r="K32" s="31">
        <f>SUM(L32:M32)</f>
        <v>97</v>
      </c>
      <c r="L32" s="31">
        <v>31</v>
      </c>
      <c r="M32" s="199">
        <v>66</v>
      </c>
      <c r="N32" s="30"/>
      <c r="O32" s="51"/>
    </row>
    <row r="33" spans="2:15" ht="13.5">
      <c r="B33" s="72">
        <v>22</v>
      </c>
      <c r="C33" s="31">
        <f>SUM(D33:E33)</f>
        <v>155</v>
      </c>
      <c r="D33" s="31">
        <v>60</v>
      </c>
      <c r="E33" s="31">
        <v>95</v>
      </c>
      <c r="F33" s="71">
        <v>57</v>
      </c>
      <c r="G33" s="379">
        <f t="shared" si="0"/>
        <v>304</v>
      </c>
      <c r="H33" s="76">
        <v>135</v>
      </c>
      <c r="I33" s="31">
        <v>169</v>
      </c>
      <c r="J33" s="71">
        <v>92</v>
      </c>
      <c r="K33" s="31">
        <f>SUM(L33:M33)</f>
        <v>92</v>
      </c>
      <c r="L33" s="31">
        <v>23</v>
      </c>
      <c r="M33" s="199">
        <v>69</v>
      </c>
      <c r="N33" s="30"/>
      <c r="O33" s="51"/>
    </row>
    <row r="34" spans="2:15" ht="13.5">
      <c r="B34" s="72">
        <v>23</v>
      </c>
      <c r="C34" s="31">
        <f>SUM(D34:E34)</f>
        <v>146</v>
      </c>
      <c r="D34" s="31">
        <v>66</v>
      </c>
      <c r="E34" s="31">
        <v>80</v>
      </c>
      <c r="F34" s="71">
        <v>58</v>
      </c>
      <c r="G34" s="379">
        <f t="shared" si="0"/>
        <v>290</v>
      </c>
      <c r="H34" s="76">
        <v>131</v>
      </c>
      <c r="I34" s="31">
        <v>159</v>
      </c>
      <c r="J34" s="71">
        <v>93</v>
      </c>
      <c r="K34" s="31">
        <f>SUM(L34:M34)</f>
        <v>66</v>
      </c>
      <c r="L34" s="31">
        <v>14</v>
      </c>
      <c r="M34" s="199">
        <v>52</v>
      </c>
      <c r="N34" s="30"/>
      <c r="O34" s="51"/>
    </row>
    <row r="35" spans="2:15" ht="13.5">
      <c r="B35" s="72">
        <v>24</v>
      </c>
      <c r="C35" s="31">
        <f>SUM(D35:E35)</f>
        <v>182</v>
      </c>
      <c r="D35" s="31">
        <v>85</v>
      </c>
      <c r="E35" s="31">
        <v>97</v>
      </c>
      <c r="F35" s="71">
        <v>59</v>
      </c>
      <c r="G35" s="379">
        <f t="shared" si="0"/>
        <v>323</v>
      </c>
      <c r="H35" s="76">
        <v>140</v>
      </c>
      <c r="I35" s="31">
        <v>183</v>
      </c>
      <c r="J35" s="71">
        <v>94</v>
      </c>
      <c r="K35" s="31">
        <f>SUM(L35:M35)</f>
        <v>58</v>
      </c>
      <c r="L35" s="31">
        <v>11</v>
      </c>
      <c r="M35" s="199">
        <v>47</v>
      </c>
      <c r="N35" s="30"/>
      <c r="O35" s="51"/>
    </row>
    <row r="36" spans="2:15" ht="13.5">
      <c r="B36" s="7" t="s">
        <v>20</v>
      </c>
      <c r="C36" s="191">
        <f>SUM(C37:C41)</f>
        <v>921</v>
      </c>
      <c r="D36" s="192">
        <f>SUM(D37:D41)</f>
        <v>422</v>
      </c>
      <c r="E36" s="192">
        <f>SUM(E37:E41)</f>
        <v>499</v>
      </c>
      <c r="F36" s="8" t="s">
        <v>21</v>
      </c>
      <c r="G36" s="193">
        <f t="shared" si="0"/>
        <v>1750</v>
      </c>
      <c r="H36" s="197">
        <f>SUM(H37:H41)</f>
        <v>825</v>
      </c>
      <c r="I36" s="192">
        <f>SUM(I37:I41)</f>
        <v>925</v>
      </c>
      <c r="J36" s="8" t="s">
        <v>35</v>
      </c>
      <c r="K36" s="192">
        <f>SUM(K37:K41)</f>
        <v>112</v>
      </c>
      <c r="L36" s="192">
        <f>SUM(L37:L41)</f>
        <v>11</v>
      </c>
      <c r="M36" s="198">
        <f>SUM(M37:M41)</f>
        <v>101</v>
      </c>
      <c r="N36" s="30"/>
      <c r="O36" s="51"/>
    </row>
    <row r="37" spans="2:15" ht="13.5">
      <c r="B37" s="72">
        <v>25</v>
      </c>
      <c r="C37" s="31">
        <f>SUM(D37:E37)</f>
        <v>163</v>
      </c>
      <c r="D37" s="31">
        <v>80</v>
      </c>
      <c r="E37" s="31">
        <v>83</v>
      </c>
      <c r="F37" s="71">
        <v>60</v>
      </c>
      <c r="G37" s="379">
        <f t="shared" si="0"/>
        <v>323</v>
      </c>
      <c r="H37" s="76">
        <v>163</v>
      </c>
      <c r="I37" s="31">
        <v>160</v>
      </c>
      <c r="J37" s="71">
        <v>95</v>
      </c>
      <c r="K37" s="31">
        <f aca="true" t="shared" si="1" ref="K37:K43">SUM(L37:M37)</f>
        <v>41</v>
      </c>
      <c r="L37" s="31">
        <v>8</v>
      </c>
      <c r="M37" s="199">
        <v>33</v>
      </c>
      <c r="N37" s="30"/>
      <c r="O37" s="51"/>
    </row>
    <row r="38" spans="2:15" ht="13.5">
      <c r="B38" s="72">
        <v>26</v>
      </c>
      <c r="C38" s="31">
        <f>SUM(D38:E38)</f>
        <v>177</v>
      </c>
      <c r="D38" s="31">
        <v>71</v>
      </c>
      <c r="E38" s="31">
        <v>106</v>
      </c>
      <c r="F38" s="71">
        <v>61</v>
      </c>
      <c r="G38" s="379">
        <f t="shared" si="0"/>
        <v>340</v>
      </c>
      <c r="H38" s="76">
        <v>161</v>
      </c>
      <c r="I38" s="31">
        <v>179</v>
      </c>
      <c r="J38" s="71">
        <v>96</v>
      </c>
      <c r="K38" s="31">
        <f t="shared" si="1"/>
        <v>30</v>
      </c>
      <c r="L38" s="31">
        <v>1</v>
      </c>
      <c r="M38" s="199">
        <v>29</v>
      </c>
      <c r="N38" s="30"/>
      <c r="O38" s="51"/>
    </row>
    <row r="39" spans="2:15" ht="13.5">
      <c r="B39" s="72">
        <v>27</v>
      </c>
      <c r="C39" s="31">
        <f>SUM(D39:E39)</f>
        <v>190</v>
      </c>
      <c r="D39" s="31">
        <v>89</v>
      </c>
      <c r="E39" s="31">
        <v>101</v>
      </c>
      <c r="F39" s="71">
        <v>62</v>
      </c>
      <c r="G39" s="379">
        <f t="shared" si="0"/>
        <v>369</v>
      </c>
      <c r="H39" s="76">
        <v>180</v>
      </c>
      <c r="I39" s="31">
        <v>189</v>
      </c>
      <c r="J39" s="71">
        <v>97</v>
      </c>
      <c r="K39" s="31">
        <f t="shared" si="1"/>
        <v>17</v>
      </c>
      <c r="L39" s="31">
        <v>1</v>
      </c>
      <c r="M39" s="199">
        <v>16</v>
      </c>
      <c r="N39" s="30"/>
      <c r="O39" s="51"/>
    </row>
    <row r="40" spans="2:15" ht="13.5">
      <c r="B40" s="72">
        <v>28</v>
      </c>
      <c r="C40" s="31">
        <f>SUM(D40:E40)</f>
        <v>192</v>
      </c>
      <c r="D40" s="31">
        <v>87</v>
      </c>
      <c r="E40" s="31">
        <v>105</v>
      </c>
      <c r="F40" s="71">
        <v>63</v>
      </c>
      <c r="G40" s="379">
        <f t="shared" si="0"/>
        <v>359</v>
      </c>
      <c r="H40" s="76">
        <v>154</v>
      </c>
      <c r="I40" s="31">
        <v>205</v>
      </c>
      <c r="J40" s="71">
        <v>98</v>
      </c>
      <c r="K40" s="31">
        <f t="shared" si="1"/>
        <v>14</v>
      </c>
      <c r="L40" s="31">
        <v>1</v>
      </c>
      <c r="M40" s="199">
        <v>13</v>
      </c>
      <c r="N40" s="30"/>
      <c r="O40" s="51"/>
    </row>
    <row r="41" spans="2:15" ht="13.5">
      <c r="B41" s="72">
        <v>29</v>
      </c>
      <c r="C41" s="31">
        <f>SUM(D41:E41)</f>
        <v>199</v>
      </c>
      <c r="D41" s="31">
        <v>95</v>
      </c>
      <c r="E41" s="31">
        <v>104</v>
      </c>
      <c r="F41" s="71">
        <v>64</v>
      </c>
      <c r="G41" s="379">
        <f t="shared" si="0"/>
        <v>359</v>
      </c>
      <c r="H41" s="76">
        <v>167</v>
      </c>
      <c r="I41" s="31">
        <v>192</v>
      </c>
      <c r="J41" s="71">
        <v>99</v>
      </c>
      <c r="K41" s="31">
        <f t="shared" si="1"/>
        <v>10</v>
      </c>
      <c r="L41" s="31"/>
      <c r="M41" s="199">
        <v>10</v>
      </c>
      <c r="N41" s="30"/>
      <c r="O41" s="51"/>
    </row>
    <row r="42" spans="2:15" ht="13.5">
      <c r="B42" s="7" t="s">
        <v>22</v>
      </c>
      <c r="C42" s="191">
        <f>SUM(C43:C47)</f>
        <v>1306</v>
      </c>
      <c r="D42" s="192">
        <f>SUM(D43:D47)</f>
        <v>605</v>
      </c>
      <c r="E42" s="192">
        <f>SUM(E43:E47)</f>
        <v>701</v>
      </c>
      <c r="F42" s="8" t="s">
        <v>23</v>
      </c>
      <c r="G42" s="193">
        <f t="shared" si="0"/>
        <v>1848</v>
      </c>
      <c r="H42" s="197">
        <f>SUM(H43:H47)</f>
        <v>890</v>
      </c>
      <c r="I42" s="192">
        <f>SUM(I43:I47)</f>
        <v>958</v>
      </c>
      <c r="J42" s="8" t="s">
        <v>36</v>
      </c>
      <c r="K42" s="192">
        <f t="shared" si="1"/>
        <v>34</v>
      </c>
      <c r="L42" s="192">
        <v>4</v>
      </c>
      <c r="M42" s="200">
        <v>30</v>
      </c>
      <c r="N42" s="30"/>
      <c r="O42" s="51"/>
    </row>
    <row r="43" spans="2:15" ht="13.5">
      <c r="B43" s="72">
        <v>30</v>
      </c>
      <c r="C43" s="31">
        <f>SUM(D43:E43)</f>
        <v>216</v>
      </c>
      <c r="D43" s="31">
        <v>101</v>
      </c>
      <c r="E43" s="31">
        <v>115</v>
      </c>
      <c r="F43" s="71">
        <v>65</v>
      </c>
      <c r="G43" s="379">
        <f t="shared" si="0"/>
        <v>371</v>
      </c>
      <c r="H43" s="76">
        <v>179</v>
      </c>
      <c r="I43" s="31">
        <v>192</v>
      </c>
      <c r="J43" s="8" t="s">
        <v>122</v>
      </c>
      <c r="K43" s="192">
        <f t="shared" si="1"/>
        <v>58</v>
      </c>
      <c r="L43" s="192">
        <v>40</v>
      </c>
      <c r="M43" s="198">
        <v>18</v>
      </c>
      <c r="N43" s="30"/>
      <c r="O43" s="51"/>
    </row>
    <row r="44" spans="2:15" ht="13.5">
      <c r="B44" s="72">
        <v>31</v>
      </c>
      <c r="C44" s="31">
        <f>SUM(D44:E44)</f>
        <v>250</v>
      </c>
      <c r="D44" s="31">
        <v>123</v>
      </c>
      <c r="E44" s="31">
        <v>127</v>
      </c>
      <c r="F44" s="71">
        <v>66</v>
      </c>
      <c r="G44" s="379">
        <f t="shared" si="0"/>
        <v>371</v>
      </c>
      <c r="H44" s="76">
        <v>177</v>
      </c>
      <c r="I44" s="31">
        <v>194</v>
      </c>
      <c r="J44" s="8"/>
      <c r="K44" s="192"/>
      <c r="L44" s="192"/>
      <c r="M44" s="198"/>
      <c r="N44" s="30"/>
      <c r="O44" s="51"/>
    </row>
    <row r="45" spans="2:15" ht="13.5">
      <c r="B45" s="72">
        <v>32</v>
      </c>
      <c r="C45" s="31">
        <f>SUM(D45:E45)</f>
        <v>286</v>
      </c>
      <c r="D45" s="31">
        <v>133</v>
      </c>
      <c r="E45" s="31">
        <v>153</v>
      </c>
      <c r="F45" s="71">
        <v>67</v>
      </c>
      <c r="G45" s="379">
        <f t="shared" si="0"/>
        <v>396</v>
      </c>
      <c r="H45" s="76">
        <v>174</v>
      </c>
      <c r="I45" s="31">
        <v>222</v>
      </c>
      <c r="J45" s="31"/>
      <c r="K45" s="31"/>
      <c r="L45" s="31"/>
      <c r="M45" s="76"/>
      <c r="N45" s="30"/>
      <c r="O45" s="51"/>
    </row>
    <row r="46" spans="2:15" ht="13.5">
      <c r="B46" s="72">
        <v>33</v>
      </c>
      <c r="C46" s="31">
        <f>SUM(D46:E46)</f>
        <v>262</v>
      </c>
      <c r="D46" s="31">
        <v>106</v>
      </c>
      <c r="E46" s="31">
        <v>156</v>
      </c>
      <c r="F46" s="71">
        <v>68</v>
      </c>
      <c r="G46" s="379">
        <f t="shared" si="0"/>
        <v>358</v>
      </c>
      <c r="H46" s="76">
        <v>184</v>
      </c>
      <c r="I46" s="31">
        <v>174</v>
      </c>
      <c r="J46" s="79"/>
      <c r="K46" s="79"/>
      <c r="L46" s="79"/>
      <c r="M46" s="201"/>
      <c r="N46" s="30"/>
      <c r="O46" s="51"/>
    </row>
    <row r="47" spans="2:15" ht="13.5">
      <c r="B47" s="78">
        <v>34</v>
      </c>
      <c r="C47" s="79">
        <f>SUM(D47:E47)</f>
        <v>292</v>
      </c>
      <c r="D47" s="79">
        <v>142</v>
      </c>
      <c r="E47" s="31">
        <v>150</v>
      </c>
      <c r="F47" s="80">
        <v>69</v>
      </c>
      <c r="G47" s="379">
        <f t="shared" si="0"/>
        <v>352</v>
      </c>
      <c r="H47" s="201">
        <v>176</v>
      </c>
      <c r="I47" s="79">
        <v>176</v>
      </c>
      <c r="J47" s="9" t="s">
        <v>228</v>
      </c>
      <c r="K47" s="202">
        <f>C6+C12+C18+C24+C30+C36+C42+G6+G12+G18+G24+G30+G36+G42+K6+K12+K18+K24+K30+K36+K42+K43</f>
        <v>25591</v>
      </c>
      <c r="L47" s="203">
        <f>D6+D12+D18+D24+D30+D36+D42+H6+H12+H18+H24+H30+H36+H42+L6+L12+L18+L24+L30+L36+L42+L43</f>
        <v>11932</v>
      </c>
      <c r="M47" s="203">
        <f>E6+E12+E18+E24+E30+E36+E42+I6+I12+I18+I24+I30+I36+I42+M6+M12+M18+M24+M30+M36+M42+M43</f>
        <v>13659</v>
      </c>
      <c r="N47" s="30"/>
      <c r="O47" s="51"/>
    </row>
    <row r="48" spans="2:15" ht="13.5">
      <c r="B48" s="81"/>
      <c r="C48" s="31"/>
      <c r="D48" s="31"/>
      <c r="E48" s="50"/>
      <c r="F48" s="51"/>
      <c r="G48" s="380"/>
      <c r="H48" s="30" t="s">
        <v>37</v>
      </c>
      <c r="O48" s="51"/>
    </row>
    <row r="49" spans="2:15" ht="13.5">
      <c r="B49" s="72" t="s">
        <v>24</v>
      </c>
      <c r="C49" s="194">
        <f>SUM(C6,C12,C18)</f>
        <v>4410</v>
      </c>
      <c r="D49" s="194">
        <f>D6+D12+D18</f>
        <v>2281</v>
      </c>
      <c r="E49" s="194">
        <f>E6+E12+E18</f>
        <v>2129</v>
      </c>
      <c r="F49" s="51"/>
      <c r="G49" s="182"/>
      <c r="O49" s="51"/>
    </row>
    <row r="50" spans="2:15" ht="13.5">
      <c r="B50" s="72" t="s">
        <v>25</v>
      </c>
      <c r="C50" s="195" t="s">
        <v>260</v>
      </c>
      <c r="D50" s="31"/>
      <c r="E50" s="31"/>
      <c r="F50" s="51"/>
      <c r="G50" s="182"/>
      <c r="H50" s="129" t="s">
        <v>216</v>
      </c>
      <c r="O50" s="51"/>
    </row>
    <row r="51" spans="2:15" ht="13.5">
      <c r="B51" s="72" t="s">
        <v>26</v>
      </c>
      <c r="C51" s="194">
        <f>SUM(C24,C30,C36,C42,G6,G12,G18,G24,G30,G36)</f>
        <v>13875</v>
      </c>
      <c r="D51" s="194">
        <f>D24+D30+D36+D42+H6+H12+H18+H24+H30+H36</f>
        <v>6541</v>
      </c>
      <c r="E51" s="194">
        <f>E24+E30+E36+E42+I6+I12+I18+I24+I30+I36</f>
        <v>7334</v>
      </c>
      <c r="F51" s="51"/>
      <c r="G51" s="182"/>
      <c r="H51" s="129" t="s">
        <v>217</v>
      </c>
      <c r="O51" s="51"/>
    </row>
    <row r="52" spans="2:15" ht="13.5">
      <c r="B52" s="72" t="s">
        <v>27</v>
      </c>
      <c r="C52" s="195" t="s">
        <v>255</v>
      </c>
      <c r="D52" s="31"/>
      <c r="E52" s="31"/>
      <c r="F52" s="51"/>
      <c r="G52" s="182"/>
      <c r="H52" s="129" t="s">
        <v>218</v>
      </c>
      <c r="O52" s="51"/>
    </row>
    <row r="53" spans="2:15" ht="13.5">
      <c r="B53" s="72" t="s">
        <v>28</v>
      </c>
      <c r="C53" s="194">
        <f>G42+K6+K12+K18+K24+K30+K36+K42</f>
        <v>7248</v>
      </c>
      <c r="D53" s="194">
        <f>H42+L6+L12+L18+L24+L30+L36+L42</f>
        <v>3070</v>
      </c>
      <c r="E53" s="194">
        <f>I42+M6+M12+M18+M24+M30+M36+M42</f>
        <v>4178</v>
      </c>
      <c r="F53" s="51"/>
      <c r="G53" s="182"/>
      <c r="H53" s="129" t="s">
        <v>219</v>
      </c>
      <c r="O53" s="51"/>
    </row>
    <row r="54" spans="2:15" ht="14.25" thickBot="1">
      <c r="B54" s="82" t="s">
        <v>29</v>
      </c>
      <c r="C54" s="196" t="s">
        <v>256</v>
      </c>
      <c r="D54" s="32"/>
      <c r="E54" s="32"/>
      <c r="F54" s="44"/>
      <c r="G54" s="183"/>
      <c r="H54" s="44"/>
      <c r="I54" s="44"/>
      <c r="J54" s="44"/>
      <c r="K54" s="44"/>
      <c r="L54" s="44"/>
      <c r="M54" s="44"/>
      <c r="O54" s="51"/>
    </row>
    <row r="55" spans="2:14" s="129" customFormat="1" ht="13.5">
      <c r="B55" s="67" t="s">
        <v>254</v>
      </c>
      <c r="C55" s="138"/>
      <c r="D55" s="138"/>
      <c r="G55" s="180"/>
      <c r="H55" s="30"/>
      <c r="I55" s="30"/>
      <c r="J55" s="30"/>
      <c r="K55" s="30"/>
      <c r="L55" s="30"/>
      <c r="M55" s="30"/>
      <c r="N55"/>
    </row>
    <row r="56" spans="2:11" ht="13.5">
      <c r="B56" s="4"/>
      <c r="K56" s="83"/>
    </row>
  </sheetData>
  <sheetProtection/>
  <mergeCells count="5">
    <mergeCell ref="B3:G3"/>
    <mergeCell ref="A1:B1"/>
    <mergeCell ref="M1:N1"/>
    <mergeCell ref="H3:M3"/>
    <mergeCell ref="K4:M4"/>
  </mergeCells>
  <printOptions/>
  <pageMargins left="0.7874015748031497" right="0.5905511811023623" top="0.984251968503937" bottom="0.5905511811023623" header="0.5118110236220472" footer="0.5118110236220472"/>
  <pageSetup horizontalDpi="600" verticalDpi="600" orientation="portrait" paperSize="9"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K34"/>
  <sheetViews>
    <sheetView showGridLines="0" zoomScaleSheetLayoutView="100" zoomScalePageLayoutView="0" workbookViewId="0" topLeftCell="A1">
      <selection activeCell="A1" sqref="A1:C1"/>
    </sheetView>
  </sheetViews>
  <sheetFormatPr defaultColWidth="9.00390625" defaultRowHeight="13.5"/>
  <cols>
    <col min="1" max="1" width="6.625" style="0" customWidth="1"/>
    <col min="2" max="2" width="8.625" style="30" customWidth="1"/>
    <col min="3" max="3" width="7.625" style="30" customWidth="1"/>
    <col min="4" max="10" width="7.00390625" style="30" customWidth="1"/>
    <col min="11" max="11" width="12.625" style="30" customWidth="1"/>
    <col min="12" max="16384" width="9.00390625" style="30" customWidth="1"/>
  </cols>
  <sheetData>
    <row r="1" spans="1:3" ht="13.5">
      <c r="A1" s="397" t="s">
        <v>317</v>
      </c>
      <c r="B1" s="397"/>
      <c r="C1" s="397"/>
    </row>
    <row r="2" spans="2:3" ht="13.5">
      <c r="B2" s="6"/>
      <c r="C2" s="6"/>
    </row>
    <row r="3" spans="2:11" ht="17.25">
      <c r="B3" s="394" t="s">
        <v>225</v>
      </c>
      <c r="C3" s="394"/>
      <c r="D3" s="394"/>
      <c r="E3" s="394"/>
      <c r="F3" s="394"/>
      <c r="G3" s="394"/>
      <c r="H3" s="394"/>
      <c r="I3" s="394"/>
      <c r="J3" s="394"/>
      <c r="K3" s="394"/>
    </row>
    <row r="4" ht="13.5">
      <c r="C4" s="4"/>
    </row>
    <row r="5" spans="2:11" ht="14.25" thickBot="1">
      <c r="B5" s="35"/>
      <c r="C5" s="33"/>
      <c r="D5" s="35"/>
      <c r="E5" s="35"/>
      <c r="F5" s="35"/>
      <c r="G5" s="35"/>
      <c r="H5" s="35"/>
      <c r="I5" s="35"/>
      <c r="J5" s="35"/>
      <c r="K5" s="11"/>
    </row>
    <row r="6" spans="2:11" ht="24.75" customHeight="1" thickTop="1">
      <c r="B6" s="403" t="s">
        <v>124</v>
      </c>
      <c r="C6" s="405"/>
      <c r="D6" s="25" t="s">
        <v>125</v>
      </c>
      <c r="E6" s="25">
        <v>7</v>
      </c>
      <c r="F6" s="25">
        <v>12</v>
      </c>
      <c r="G6" s="25">
        <v>17</v>
      </c>
      <c r="H6" s="84">
        <v>22</v>
      </c>
      <c r="I6" s="25">
        <v>27</v>
      </c>
      <c r="J6" s="204" t="s">
        <v>262</v>
      </c>
      <c r="K6" s="84" t="s">
        <v>126</v>
      </c>
    </row>
    <row r="7" spans="2:11" ht="24.75" customHeight="1">
      <c r="B7" s="402" t="s">
        <v>127</v>
      </c>
      <c r="C7" s="152" t="s">
        <v>128</v>
      </c>
      <c r="D7" s="26">
        <v>2387</v>
      </c>
      <c r="E7" s="26">
        <v>2349</v>
      </c>
      <c r="F7" s="26">
        <v>2247</v>
      </c>
      <c r="G7" s="26">
        <v>2122</v>
      </c>
      <c r="H7" s="90">
        <v>2378</v>
      </c>
      <c r="I7" s="26">
        <v>2512</v>
      </c>
      <c r="J7" s="168">
        <v>2528</v>
      </c>
      <c r="K7" s="86">
        <f>J7-I7</f>
        <v>16</v>
      </c>
    </row>
    <row r="8" spans="2:11" ht="24.75" customHeight="1">
      <c r="B8" s="403"/>
      <c r="C8" s="25" t="s">
        <v>129</v>
      </c>
      <c r="D8" s="27">
        <v>835</v>
      </c>
      <c r="E8" s="27">
        <v>862</v>
      </c>
      <c r="F8" s="27">
        <v>856</v>
      </c>
      <c r="G8" s="27">
        <v>835</v>
      </c>
      <c r="H8" s="91">
        <v>913</v>
      </c>
      <c r="I8" s="27">
        <v>993</v>
      </c>
      <c r="J8" s="205">
        <v>1007</v>
      </c>
      <c r="K8" s="87">
        <f aca="true" t="shared" si="0" ref="K8:K26">J8-I8</f>
        <v>14</v>
      </c>
    </row>
    <row r="9" spans="2:11" ht="24.75" customHeight="1">
      <c r="B9" s="402" t="s">
        <v>130</v>
      </c>
      <c r="C9" s="85" t="s">
        <v>128</v>
      </c>
      <c r="D9" s="26">
        <v>2482</v>
      </c>
      <c r="E9" s="26">
        <v>2525</v>
      </c>
      <c r="F9" s="26">
        <v>2628</v>
      </c>
      <c r="G9" s="26">
        <v>2656</v>
      </c>
      <c r="H9" s="90">
        <v>2483</v>
      </c>
      <c r="I9" s="26">
        <v>2324</v>
      </c>
      <c r="J9" s="168">
        <v>2294</v>
      </c>
      <c r="K9" s="86">
        <f t="shared" si="0"/>
        <v>-30</v>
      </c>
    </row>
    <row r="10" spans="2:11" ht="24.75" customHeight="1">
      <c r="B10" s="403"/>
      <c r="C10" s="25" t="s">
        <v>129</v>
      </c>
      <c r="D10" s="27">
        <v>754</v>
      </c>
      <c r="E10" s="27">
        <v>835</v>
      </c>
      <c r="F10" s="27">
        <v>883</v>
      </c>
      <c r="G10" s="27">
        <v>947</v>
      </c>
      <c r="H10" s="91">
        <v>961</v>
      </c>
      <c r="I10" s="27">
        <v>950</v>
      </c>
      <c r="J10" s="205">
        <v>944</v>
      </c>
      <c r="K10" s="87">
        <f t="shared" si="0"/>
        <v>-6</v>
      </c>
    </row>
    <row r="11" spans="2:11" ht="24.75" customHeight="1">
      <c r="B11" s="402" t="s">
        <v>131</v>
      </c>
      <c r="C11" s="85" t="s">
        <v>128</v>
      </c>
      <c r="D11" s="26">
        <v>1396</v>
      </c>
      <c r="E11" s="26">
        <v>1485</v>
      </c>
      <c r="F11" s="26">
        <v>1433</v>
      </c>
      <c r="G11" s="26">
        <v>1380</v>
      </c>
      <c r="H11" s="90">
        <v>1342</v>
      </c>
      <c r="I11" s="26">
        <v>1438</v>
      </c>
      <c r="J11" s="168">
        <v>1406</v>
      </c>
      <c r="K11" s="86">
        <f t="shared" si="0"/>
        <v>-32</v>
      </c>
    </row>
    <row r="12" spans="2:11" ht="24.75" customHeight="1">
      <c r="B12" s="403"/>
      <c r="C12" s="25" t="s">
        <v>129</v>
      </c>
      <c r="D12" s="27">
        <v>468</v>
      </c>
      <c r="E12" s="27">
        <v>512</v>
      </c>
      <c r="F12" s="27">
        <v>527</v>
      </c>
      <c r="G12" s="27">
        <v>535</v>
      </c>
      <c r="H12" s="91">
        <v>547</v>
      </c>
      <c r="I12" s="27">
        <v>586</v>
      </c>
      <c r="J12" s="205">
        <v>596</v>
      </c>
      <c r="K12" s="87">
        <f t="shared" si="0"/>
        <v>10</v>
      </c>
    </row>
    <row r="13" spans="2:11" ht="24.75" customHeight="1">
      <c r="B13" s="402" t="s">
        <v>132</v>
      </c>
      <c r="C13" s="85" t="s">
        <v>128</v>
      </c>
      <c r="D13" s="26">
        <v>1607</v>
      </c>
      <c r="E13" s="26">
        <v>1541</v>
      </c>
      <c r="F13" s="26">
        <v>1526</v>
      </c>
      <c r="G13" s="26">
        <v>1543</v>
      </c>
      <c r="H13" s="90">
        <v>1564</v>
      </c>
      <c r="I13" s="26">
        <v>1373</v>
      </c>
      <c r="J13" s="168">
        <v>1307</v>
      </c>
      <c r="K13" s="86">
        <f t="shared" si="0"/>
        <v>-66</v>
      </c>
    </row>
    <row r="14" spans="2:11" ht="24.75" customHeight="1">
      <c r="B14" s="403"/>
      <c r="C14" s="25" t="s">
        <v>129</v>
      </c>
      <c r="D14" s="27">
        <v>455</v>
      </c>
      <c r="E14" s="27">
        <v>470</v>
      </c>
      <c r="F14" s="27">
        <v>465</v>
      </c>
      <c r="G14" s="27">
        <v>472</v>
      </c>
      <c r="H14" s="91">
        <v>492</v>
      </c>
      <c r="I14" s="27">
        <v>459</v>
      </c>
      <c r="J14" s="205">
        <v>430</v>
      </c>
      <c r="K14" s="87">
        <f t="shared" si="0"/>
        <v>-29</v>
      </c>
    </row>
    <row r="15" spans="2:11" ht="24.75" customHeight="1">
      <c r="B15" s="402" t="s">
        <v>133</v>
      </c>
      <c r="C15" s="85" t="s">
        <v>128</v>
      </c>
      <c r="D15" s="26">
        <v>910</v>
      </c>
      <c r="E15" s="26">
        <v>905</v>
      </c>
      <c r="F15" s="26">
        <v>753</v>
      </c>
      <c r="G15" s="26">
        <v>724</v>
      </c>
      <c r="H15" s="90">
        <v>661</v>
      </c>
      <c r="I15" s="26">
        <v>583</v>
      </c>
      <c r="J15" s="168">
        <v>514</v>
      </c>
      <c r="K15" s="86">
        <f>J15-I15</f>
        <v>-69</v>
      </c>
    </row>
    <row r="16" spans="2:11" ht="24.75" customHeight="1">
      <c r="B16" s="403"/>
      <c r="C16" s="25" t="s">
        <v>129</v>
      </c>
      <c r="D16" s="27">
        <v>342</v>
      </c>
      <c r="E16" s="27">
        <v>369</v>
      </c>
      <c r="F16" s="27">
        <v>319</v>
      </c>
      <c r="G16" s="27">
        <v>308</v>
      </c>
      <c r="H16" s="91">
        <v>298</v>
      </c>
      <c r="I16" s="27">
        <v>273</v>
      </c>
      <c r="J16" s="205">
        <v>249</v>
      </c>
      <c r="K16" s="87">
        <f t="shared" si="0"/>
        <v>-24</v>
      </c>
    </row>
    <row r="17" spans="2:11" ht="24.75" customHeight="1">
      <c r="B17" s="402" t="s">
        <v>134</v>
      </c>
      <c r="C17" s="85" t="s">
        <v>128</v>
      </c>
      <c r="D17" s="26">
        <v>3544</v>
      </c>
      <c r="E17" s="26">
        <v>3958</v>
      </c>
      <c r="F17" s="26">
        <v>4235</v>
      </c>
      <c r="G17" s="26">
        <v>4368</v>
      </c>
      <c r="H17" s="90">
        <v>4425</v>
      </c>
      <c r="I17" s="26">
        <v>4786</v>
      </c>
      <c r="J17" s="168">
        <v>4927</v>
      </c>
      <c r="K17" s="86">
        <f t="shared" si="0"/>
        <v>141</v>
      </c>
    </row>
    <row r="18" spans="2:11" ht="24.75" customHeight="1">
      <c r="B18" s="403"/>
      <c r="C18" s="25" t="s">
        <v>129</v>
      </c>
      <c r="D18" s="27">
        <v>1157</v>
      </c>
      <c r="E18" s="27">
        <v>1338</v>
      </c>
      <c r="F18" s="27">
        <v>1454</v>
      </c>
      <c r="G18" s="27">
        <v>1547</v>
      </c>
      <c r="H18" s="91">
        <v>1655</v>
      </c>
      <c r="I18" s="27">
        <v>1821</v>
      </c>
      <c r="J18" s="205">
        <v>1928</v>
      </c>
      <c r="K18" s="87">
        <f t="shared" si="0"/>
        <v>107</v>
      </c>
    </row>
    <row r="19" spans="2:11" ht="24.75" customHeight="1">
      <c r="B19" s="402" t="s">
        <v>135</v>
      </c>
      <c r="C19" s="85" t="s">
        <v>128</v>
      </c>
      <c r="D19" s="26">
        <v>3916</v>
      </c>
      <c r="E19" s="26">
        <v>4223</v>
      </c>
      <c r="F19" s="26">
        <v>4434</v>
      </c>
      <c r="G19" s="26">
        <v>4654</v>
      </c>
      <c r="H19" s="90">
        <v>4940</v>
      </c>
      <c r="I19" s="26">
        <v>5222</v>
      </c>
      <c r="J19" s="168">
        <v>5517</v>
      </c>
      <c r="K19" s="86">
        <f t="shared" si="0"/>
        <v>295</v>
      </c>
    </row>
    <row r="20" spans="2:11" ht="24.75" customHeight="1">
      <c r="B20" s="403"/>
      <c r="C20" s="25" t="s">
        <v>129</v>
      </c>
      <c r="D20" s="27">
        <v>1269</v>
      </c>
      <c r="E20" s="27">
        <v>1490</v>
      </c>
      <c r="F20" s="27">
        <v>1624</v>
      </c>
      <c r="G20" s="27">
        <v>1751</v>
      </c>
      <c r="H20" s="91">
        <v>1882</v>
      </c>
      <c r="I20" s="27">
        <v>2029</v>
      </c>
      <c r="J20" s="205">
        <v>2147</v>
      </c>
      <c r="K20" s="87">
        <f t="shared" si="0"/>
        <v>118</v>
      </c>
    </row>
    <row r="21" spans="2:11" ht="24.75" customHeight="1">
      <c r="B21" s="402" t="s">
        <v>136</v>
      </c>
      <c r="C21" s="85" t="s">
        <v>128</v>
      </c>
      <c r="D21" s="26">
        <v>2308</v>
      </c>
      <c r="E21" s="26">
        <v>2515</v>
      </c>
      <c r="F21" s="26">
        <v>2757</v>
      </c>
      <c r="G21" s="26">
        <v>2821</v>
      </c>
      <c r="H21" s="90">
        <v>2785</v>
      </c>
      <c r="I21" s="26">
        <v>2932</v>
      </c>
      <c r="J21" s="168">
        <v>2865</v>
      </c>
      <c r="K21" s="86">
        <f t="shared" si="0"/>
        <v>-67</v>
      </c>
    </row>
    <row r="22" spans="2:11" ht="24.75" customHeight="1">
      <c r="B22" s="403"/>
      <c r="C22" s="25" t="s">
        <v>129</v>
      </c>
      <c r="D22" s="27">
        <v>752</v>
      </c>
      <c r="E22" s="27">
        <v>914</v>
      </c>
      <c r="F22" s="27">
        <v>1018</v>
      </c>
      <c r="G22" s="27">
        <v>1078</v>
      </c>
      <c r="H22" s="91">
        <v>1119</v>
      </c>
      <c r="I22" s="27">
        <v>1169</v>
      </c>
      <c r="J22" s="205">
        <v>1164</v>
      </c>
      <c r="K22" s="87">
        <f t="shared" si="0"/>
        <v>-5</v>
      </c>
    </row>
    <row r="23" spans="2:11" ht="24.75" customHeight="1">
      <c r="B23" s="402" t="s">
        <v>137</v>
      </c>
      <c r="C23" s="85" t="s">
        <v>128</v>
      </c>
      <c r="D23" s="26">
        <v>2461</v>
      </c>
      <c r="E23" s="26">
        <v>3440</v>
      </c>
      <c r="F23" s="26">
        <v>4043</v>
      </c>
      <c r="G23" s="26">
        <v>4277</v>
      </c>
      <c r="H23" s="90">
        <v>4222</v>
      </c>
      <c r="I23" s="26">
        <v>4234</v>
      </c>
      <c r="J23" s="168">
        <v>4233</v>
      </c>
      <c r="K23" s="86">
        <f t="shared" si="0"/>
        <v>-1</v>
      </c>
    </row>
    <row r="24" spans="2:11" ht="24.75" customHeight="1">
      <c r="B24" s="403"/>
      <c r="C24" s="25" t="s">
        <v>129</v>
      </c>
      <c r="D24" s="27">
        <v>805</v>
      </c>
      <c r="E24" s="27">
        <v>1200</v>
      </c>
      <c r="F24" s="27">
        <v>1436</v>
      </c>
      <c r="G24" s="27">
        <v>1588</v>
      </c>
      <c r="H24" s="91">
        <v>1636</v>
      </c>
      <c r="I24" s="27">
        <v>1687</v>
      </c>
      <c r="J24" s="205">
        <v>1738</v>
      </c>
      <c r="K24" s="87">
        <f t="shared" si="0"/>
        <v>51</v>
      </c>
    </row>
    <row r="25" spans="2:11" ht="24.75" customHeight="1">
      <c r="B25" s="402" t="s">
        <v>138</v>
      </c>
      <c r="C25" s="85" t="s">
        <v>128</v>
      </c>
      <c r="D25" s="26">
        <f aca="true" t="shared" si="1" ref="D25:F26">SUM(D7,D9,D11,D13,D15,D17,D19,D21,D23)</f>
        <v>21011</v>
      </c>
      <c r="E25" s="26">
        <f t="shared" si="1"/>
        <v>22941</v>
      </c>
      <c r="F25" s="26">
        <f t="shared" si="1"/>
        <v>24056</v>
      </c>
      <c r="G25" s="26">
        <f>G7+G9+G11+G13+G15+G17+G19+G21+G23</f>
        <v>24545</v>
      </c>
      <c r="H25" s="26">
        <f>H7+H9+H11+H13+H15+H17+H19+H21+H23</f>
        <v>24800</v>
      </c>
      <c r="I25" s="26">
        <v>25404</v>
      </c>
      <c r="J25" s="168">
        <f>J7+J9+J11+J13+J15+J17+J19+J21+J23</f>
        <v>25591</v>
      </c>
      <c r="K25" s="86">
        <f>J25-I25</f>
        <v>187</v>
      </c>
    </row>
    <row r="26" spans="2:11" ht="24.75" customHeight="1" thickBot="1">
      <c r="B26" s="404"/>
      <c r="C26" s="88" t="s">
        <v>129</v>
      </c>
      <c r="D26" s="28">
        <f t="shared" si="1"/>
        <v>6837</v>
      </c>
      <c r="E26" s="28">
        <f t="shared" si="1"/>
        <v>7990</v>
      </c>
      <c r="F26" s="28">
        <f t="shared" si="1"/>
        <v>8582</v>
      </c>
      <c r="G26" s="28">
        <f>G8+G10+G12+G14+G16+G18+G20+G22+G24</f>
        <v>9061</v>
      </c>
      <c r="H26" s="28">
        <f>H8+H10+H12+H14+H16+H18+H20+H22+H24</f>
        <v>9503</v>
      </c>
      <c r="I26" s="28">
        <v>9967</v>
      </c>
      <c r="J26" s="186">
        <f>J8+J10+J12+J14+J16+J18+J20+J22+J24</f>
        <v>10203</v>
      </c>
      <c r="K26" s="89">
        <f t="shared" si="0"/>
        <v>236</v>
      </c>
    </row>
    <row r="27" spans="2:11" s="129" customFormat="1" ht="13.5">
      <c r="B27" s="133" t="s">
        <v>261</v>
      </c>
      <c r="C27" s="67"/>
      <c r="D27" s="206"/>
      <c r="E27" s="206"/>
      <c r="F27" s="4"/>
      <c r="G27" s="4"/>
      <c r="H27" s="4"/>
      <c r="I27" s="4"/>
      <c r="J27" s="4"/>
      <c r="K27" s="207"/>
    </row>
    <row r="28" spans="1:11" ht="13.5">
      <c r="A28" s="30"/>
      <c r="B28" s="4" t="s">
        <v>139</v>
      </c>
      <c r="C28" s="4"/>
      <c r="D28" s="4"/>
      <c r="E28" s="4"/>
      <c r="F28" s="4" t="s">
        <v>140</v>
      </c>
      <c r="G28" s="4"/>
      <c r="H28" s="4"/>
      <c r="I28" s="4"/>
      <c r="J28" s="4"/>
      <c r="K28" s="4"/>
    </row>
    <row r="29" spans="2:11" ht="13.5">
      <c r="B29" s="4" t="s">
        <v>141</v>
      </c>
      <c r="C29" s="4"/>
      <c r="D29" s="4"/>
      <c r="E29" s="4"/>
      <c r="F29" s="4" t="s">
        <v>142</v>
      </c>
      <c r="G29" s="4"/>
      <c r="H29" s="4"/>
      <c r="I29" s="4"/>
      <c r="J29" s="4"/>
      <c r="K29" s="4"/>
    </row>
    <row r="30" spans="2:11" ht="13.5">
      <c r="B30" s="4" t="s">
        <v>267</v>
      </c>
      <c r="C30" s="4"/>
      <c r="D30" s="4"/>
      <c r="E30" s="4"/>
      <c r="F30" s="4" t="s">
        <v>143</v>
      </c>
      <c r="G30" s="4"/>
      <c r="H30" s="4"/>
      <c r="I30" s="4"/>
      <c r="J30" s="4"/>
      <c r="K30" s="4"/>
    </row>
    <row r="31" spans="2:11" ht="13.5">
      <c r="B31" s="4" t="s">
        <v>144</v>
      </c>
      <c r="C31" s="4"/>
      <c r="D31" s="4"/>
      <c r="E31" s="4"/>
      <c r="F31" s="4" t="s">
        <v>145</v>
      </c>
      <c r="G31" s="4"/>
      <c r="H31" s="4"/>
      <c r="I31" s="4"/>
      <c r="J31" s="4"/>
      <c r="K31" s="4"/>
    </row>
    <row r="32" spans="2:11" ht="13.5">
      <c r="B32" s="4"/>
      <c r="C32" s="4"/>
      <c r="D32" s="4"/>
      <c r="E32" s="4"/>
      <c r="F32" s="4" t="s">
        <v>146</v>
      </c>
      <c r="G32" s="4"/>
      <c r="H32" s="4"/>
      <c r="I32" s="4"/>
      <c r="J32" s="4"/>
      <c r="K32" s="4"/>
    </row>
    <row r="33" spans="2:11" ht="13.5">
      <c r="B33" s="4"/>
      <c r="C33" s="4"/>
      <c r="D33" s="4"/>
      <c r="E33" s="4"/>
      <c r="F33" s="4"/>
      <c r="G33" s="4"/>
      <c r="H33" s="4"/>
      <c r="I33" s="4"/>
      <c r="J33" s="4"/>
      <c r="K33" s="4"/>
    </row>
    <row r="34" spans="2:11" ht="13.5">
      <c r="B34" s="4"/>
      <c r="C34" s="4"/>
      <c r="D34" s="4"/>
      <c r="E34" s="4"/>
      <c r="F34" s="4"/>
      <c r="G34" s="4"/>
      <c r="H34" s="4"/>
      <c r="I34" s="4"/>
      <c r="J34" s="4"/>
      <c r="K34" s="4"/>
    </row>
  </sheetData>
  <sheetProtection/>
  <mergeCells count="13">
    <mergeCell ref="B11:B12"/>
    <mergeCell ref="A1:C1"/>
    <mergeCell ref="B17:B18"/>
    <mergeCell ref="B21:B22"/>
    <mergeCell ref="B23:B24"/>
    <mergeCell ref="B25:B26"/>
    <mergeCell ref="B19:B20"/>
    <mergeCell ref="B3:K3"/>
    <mergeCell ref="B13:B14"/>
    <mergeCell ref="B15:B16"/>
    <mergeCell ref="B6:C6"/>
    <mergeCell ref="B7:B8"/>
    <mergeCell ref="B9:B10"/>
  </mergeCells>
  <printOptions/>
  <pageMargins left="0.5905511811023623" right="0.5905511811023623" top="0.984251968503937" bottom="0.984251968503937"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K52"/>
  <sheetViews>
    <sheetView showGridLines="0" zoomScaleSheetLayoutView="100" zoomScalePageLayoutView="0" workbookViewId="0" topLeftCell="A1">
      <selection activeCell="E1" sqref="E1:G1"/>
    </sheetView>
  </sheetViews>
  <sheetFormatPr defaultColWidth="9.00390625" defaultRowHeight="13.5"/>
  <cols>
    <col min="1" max="1" width="22.125" style="92" customWidth="1"/>
    <col min="2" max="2" width="12.375" style="92" customWidth="1"/>
    <col min="3" max="3" width="11.125" style="92" customWidth="1"/>
    <col min="4" max="4" width="11.625" style="92" customWidth="1"/>
    <col min="5" max="5" width="13.00390625" style="92" customWidth="1"/>
    <col min="6" max="6" width="14.25390625" style="92" customWidth="1"/>
    <col min="7" max="7" width="6.625" style="0" customWidth="1"/>
    <col min="8" max="10" width="7.50390625" style="92" customWidth="1"/>
    <col min="11" max="11" width="12.625" style="92" customWidth="1"/>
    <col min="12" max="16384" width="9.00390625" style="92" customWidth="1"/>
  </cols>
  <sheetData>
    <row r="1" spans="5:7" ht="13.5">
      <c r="E1" s="406" t="s">
        <v>318</v>
      </c>
      <c r="F1" s="406"/>
      <c r="G1" s="406"/>
    </row>
    <row r="2" spans="5:6" ht="13.5">
      <c r="E2" s="142"/>
      <c r="F2" s="142"/>
    </row>
    <row r="3" spans="1:11" ht="17.25">
      <c r="A3" s="431" t="s">
        <v>102</v>
      </c>
      <c r="B3" s="431"/>
      <c r="C3" s="431"/>
      <c r="D3" s="431"/>
      <c r="E3" s="143"/>
      <c r="F3" s="143"/>
      <c r="H3" s="14"/>
      <c r="I3" s="14"/>
      <c r="J3" s="14"/>
      <c r="K3" s="14"/>
    </row>
    <row r="4" spans="1:11" ht="9.75" customHeight="1">
      <c r="A4" s="156"/>
      <c r="B4" s="156"/>
      <c r="C4" s="156"/>
      <c r="D4" s="156"/>
      <c r="E4" s="143"/>
      <c r="F4" s="143"/>
      <c r="H4" s="14"/>
      <c r="I4" s="14"/>
      <c r="J4" s="14"/>
      <c r="K4" s="14"/>
    </row>
    <row r="5" spans="1:11" ht="14.25" thickBot="1">
      <c r="A5" s="93"/>
      <c r="B5" s="93"/>
      <c r="C5" s="93"/>
      <c r="D5" s="18"/>
      <c r="E5" s="15"/>
      <c r="H5" s="94"/>
      <c r="I5" s="94"/>
      <c r="J5" s="94"/>
      <c r="K5" s="15"/>
    </row>
    <row r="6" spans="1:11" ht="24.75" thickTop="1">
      <c r="A6" s="153" t="s">
        <v>229</v>
      </c>
      <c r="B6" s="95" t="s">
        <v>129</v>
      </c>
      <c r="C6" s="95" t="s">
        <v>147</v>
      </c>
      <c r="D6" s="164" t="s">
        <v>245</v>
      </c>
      <c r="E6" s="132"/>
      <c r="F6" s="132"/>
      <c r="H6" s="96"/>
      <c r="I6" s="16"/>
      <c r="J6" s="16"/>
      <c r="K6" s="96"/>
    </row>
    <row r="7" spans="1:11" ht="20.25" customHeight="1">
      <c r="A7" s="20" t="s">
        <v>92</v>
      </c>
      <c r="B7" s="208">
        <v>10178</v>
      </c>
      <c r="C7" s="26">
        <v>24628</v>
      </c>
      <c r="D7" s="209">
        <f aca="true" t="shared" si="0" ref="D7:D15">C7/B7</f>
        <v>2.419728826881509</v>
      </c>
      <c r="E7" s="130"/>
      <c r="F7" s="130"/>
      <c r="G7" s="30"/>
      <c r="H7" s="97"/>
      <c r="I7" s="10"/>
      <c r="J7" s="10"/>
      <c r="K7" s="97"/>
    </row>
    <row r="8" spans="1:11" ht="20.25" customHeight="1">
      <c r="A8" s="21" t="s">
        <v>93</v>
      </c>
      <c r="B8" s="208">
        <v>10060</v>
      </c>
      <c r="C8" s="26">
        <v>24443</v>
      </c>
      <c r="D8" s="210">
        <f t="shared" si="0"/>
        <v>2.429721669980119</v>
      </c>
      <c r="E8" s="131"/>
      <c r="F8" s="131"/>
      <c r="G8" s="30"/>
      <c r="H8" s="97"/>
      <c r="I8" s="10"/>
      <c r="J8" s="10"/>
      <c r="K8" s="97"/>
    </row>
    <row r="9" spans="1:11" ht="20.25" customHeight="1">
      <c r="A9" s="22" t="s">
        <v>98</v>
      </c>
      <c r="B9" s="208">
        <v>9945</v>
      </c>
      <c r="C9" s="26">
        <v>24186</v>
      </c>
      <c r="D9" s="210">
        <f t="shared" si="0"/>
        <v>2.4319758672699847</v>
      </c>
      <c r="E9" s="131"/>
      <c r="F9" s="131"/>
      <c r="G9" s="30"/>
      <c r="H9" s="97"/>
      <c r="I9" s="10"/>
      <c r="J9" s="10"/>
      <c r="K9" s="97"/>
    </row>
    <row r="10" spans="1:11" ht="20.25" customHeight="1">
      <c r="A10" s="22" t="s">
        <v>94</v>
      </c>
      <c r="B10" s="208">
        <v>7753</v>
      </c>
      <c r="C10" s="26">
        <v>19275</v>
      </c>
      <c r="D10" s="210">
        <f t="shared" si="0"/>
        <v>2.4861343995872565</v>
      </c>
      <c r="E10" s="131"/>
      <c r="F10" s="131"/>
      <c r="G10" s="30"/>
      <c r="H10" s="97"/>
      <c r="I10" s="10"/>
      <c r="J10" s="10"/>
      <c r="K10" s="97"/>
    </row>
    <row r="11" spans="1:11" ht="20.25" customHeight="1">
      <c r="A11" s="23" t="s">
        <v>95</v>
      </c>
      <c r="B11" s="208">
        <v>514</v>
      </c>
      <c r="C11" s="26">
        <v>1146</v>
      </c>
      <c r="D11" s="210">
        <f t="shared" si="0"/>
        <v>2.2295719844357977</v>
      </c>
      <c r="E11" s="131"/>
      <c r="F11" s="131"/>
      <c r="G11" s="30"/>
      <c r="H11" s="97"/>
      <c r="I11" s="10"/>
      <c r="J11" s="10"/>
      <c r="K11" s="97"/>
    </row>
    <row r="12" spans="1:11" ht="20.25" customHeight="1">
      <c r="A12" s="22" t="s">
        <v>96</v>
      </c>
      <c r="B12" s="208">
        <v>1588</v>
      </c>
      <c r="C12" s="26">
        <v>3612</v>
      </c>
      <c r="D12" s="210">
        <f t="shared" si="0"/>
        <v>2.27455919395466</v>
      </c>
      <c r="E12" s="131"/>
      <c r="F12" s="131"/>
      <c r="G12" s="30"/>
      <c r="H12" s="97"/>
      <c r="I12" s="10"/>
      <c r="J12" s="10"/>
      <c r="K12" s="97"/>
    </row>
    <row r="13" spans="1:11" ht="20.25" customHeight="1">
      <c r="A13" s="22" t="s">
        <v>97</v>
      </c>
      <c r="B13" s="208">
        <v>90</v>
      </c>
      <c r="C13" s="26">
        <v>153</v>
      </c>
      <c r="D13" s="210">
        <f t="shared" si="0"/>
        <v>1.7</v>
      </c>
      <c r="E13" s="131"/>
      <c r="F13" s="131"/>
      <c r="G13" s="30"/>
      <c r="H13" s="97"/>
      <c r="I13" s="10"/>
      <c r="J13" s="10"/>
      <c r="K13" s="97"/>
    </row>
    <row r="14" spans="1:11" ht="20.25" customHeight="1">
      <c r="A14" s="22" t="s">
        <v>99</v>
      </c>
      <c r="B14" s="208">
        <v>115</v>
      </c>
      <c r="C14" s="26">
        <v>257</v>
      </c>
      <c r="D14" s="210">
        <f t="shared" si="0"/>
        <v>2.234782608695652</v>
      </c>
      <c r="E14" s="131"/>
      <c r="F14" s="131"/>
      <c r="G14" s="30"/>
      <c r="H14" s="97"/>
      <c r="I14" s="10"/>
      <c r="J14" s="10"/>
      <c r="K14" s="97"/>
    </row>
    <row r="15" spans="1:11" ht="20.25" customHeight="1" thickBot="1">
      <c r="A15" s="24" t="s">
        <v>100</v>
      </c>
      <c r="B15" s="211">
        <v>118</v>
      </c>
      <c r="C15" s="28">
        <v>185</v>
      </c>
      <c r="D15" s="212">
        <f t="shared" si="0"/>
        <v>1.5677966101694916</v>
      </c>
      <c r="E15" s="137"/>
      <c r="F15" s="137"/>
      <c r="G15" s="30"/>
      <c r="H15" s="97"/>
      <c r="I15" s="10"/>
      <c r="J15" s="10"/>
      <c r="K15" s="97"/>
    </row>
    <row r="16" spans="1:11" ht="13.5">
      <c r="A16" s="133" t="s">
        <v>259</v>
      </c>
      <c r="B16" s="130"/>
      <c r="C16" s="137"/>
      <c r="D16" s="137"/>
      <c r="E16" s="97"/>
      <c r="F16" s="97"/>
      <c r="G16" s="30"/>
      <c r="H16" s="97"/>
      <c r="I16" s="10"/>
      <c r="J16" s="10"/>
      <c r="K16" s="97"/>
    </row>
    <row r="17" spans="1:11" ht="13.5">
      <c r="A17" s="133"/>
      <c r="B17" s="130"/>
      <c r="C17" s="137"/>
      <c r="D17" s="137"/>
      <c r="E17" s="97"/>
      <c r="F17" s="97"/>
      <c r="G17" s="30"/>
      <c r="H17" s="97"/>
      <c r="I17" s="10"/>
      <c r="J17" s="10"/>
      <c r="K17" s="97"/>
    </row>
    <row r="18" spans="1:11" ht="17.25">
      <c r="A18" s="407" t="s">
        <v>103</v>
      </c>
      <c r="B18" s="407"/>
      <c r="C18" s="407"/>
      <c r="D18" s="407"/>
      <c r="E18" s="407"/>
      <c r="F18" s="407"/>
      <c r="H18" s="97"/>
      <c r="I18" s="10"/>
      <c r="J18" s="10"/>
      <c r="K18" s="97"/>
    </row>
    <row r="19" spans="1:11" ht="9.75" customHeight="1">
      <c r="A19" s="157"/>
      <c r="B19" s="157"/>
      <c r="C19" s="157"/>
      <c r="D19" s="157"/>
      <c r="E19" s="157"/>
      <c r="F19" s="157"/>
      <c r="H19" s="97"/>
      <c r="I19" s="10"/>
      <c r="J19" s="10"/>
      <c r="K19" s="97"/>
    </row>
    <row r="20" spans="1:11" ht="18" customHeight="1" thickBot="1">
      <c r="A20" s="13"/>
      <c r="B20" s="13"/>
      <c r="C20" s="13"/>
      <c r="D20" s="13"/>
      <c r="E20" s="13"/>
      <c r="F20" s="19"/>
      <c r="H20" s="97"/>
      <c r="I20" s="10"/>
      <c r="J20" s="10"/>
      <c r="K20" s="97"/>
    </row>
    <row r="21" spans="1:11" ht="8.25" customHeight="1" thickTop="1">
      <c r="A21" s="425"/>
      <c r="B21" s="426"/>
      <c r="C21" s="429" t="s">
        <v>231</v>
      </c>
      <c r="D21" s="165"/>
      <c r="E21" s="432" t="s">
        <v>41</v>
      </c>
      <c r="F21" s="410" t="s">
        <v>42</v>
      </c>
      <c r="H21" s="97"/>
      <c r="I21" s="10"/>
      <c r="J21" s="10"/>
      <c r="K21" s="97"/>
    </row>
    <row r="22" spans="1:11" ht="15" customHeight="1">
      <c r="A22" s="427"/>
      <c r="B22" s="428"/>
      <c r="C22" s="430"/>
      <c r="D22" s="12" t="s">
        <v>88</v>
      </c>
      <c r="E22" s="430"/>
      <c r="F22" s="411"/>
      <c r="H22" s="97"/>
      <c r="I22" s="10"/>
      <c r="J22" s="10"/>
      <c r="K22" s="97"/>
    </row>
    <row r="23" spans="1:11" ht="15.75" customHeight="1">
      <c r="A23" s="414" t="s">
        <v>230</v>
      </c>
      <c r="B23" s="412"/>
      <c r="C23" s="98">
        <f>SUM(C24:C44)-C25</f>
        <v>11762</v>
      </c>
      <c r="D23" s="99">
        <v>1</v>
      </c>
      <c r="E23" s="364" t="s">
        <v>269</v>
      </c>
      <c r="F23" s="371" t="s">
        <v>270</v>
      </c>
      <c r="H23" s="97"/>
      <c r="I23" s="10"/>
      <c r="J23" s="10"/>
      <c r="K23" s="97"/>
    </row>
    <row r="24" spans="1:11" ht="17.25" customHeight="1">
      <c r="A24" s="408" t="s">
        <v>220</v>
      </c>
      <c r="B24" s="409"/>
      <c r="C24" s="101">
        <v>807</v>
      </c>
      <c r="D24" s="102">
        <f>C24/C23</f>
        <v>0.06861078047951029</v>
      </c>
      <c r="E24" s="365" t="s">
        <v>271</v>
      </c>
      <c r="F24" s="372" t="s">
        <v>272</v>
      </c>
      <c r="H24" s="97"/>
      <c r="I24" s="10"/>
      <c r="J24" s="10"/>
      <c r="K24" s="97"/>
    </row>
    <row r="25" spans="1:11" ht="17.25" customHeight="1">
      <c r="A25" s="408" t="s">
        <v>169</v>
      </c>
      <c r="B25" s="409"/>
      <c r="C25" s="103">
        <v>716</v>
      </c>
      <c r="D25" s="102">
        <f>C25/C23</f>
        <v>0.06087400102023465</v>
      </c>
      <c r="E25" s="365" t="s">
        <v>273</v>
      </c>
      <c r="F25" s="372" t="s">
        <v>274</v>
      </c>
      <c r="H25" s="97"/>
      <c r="I25" s="10"/>
      <c r="J25" s="10"/>
      <c r="K25" s="97"/>
    </row>
    <row r="26" spans="1:11" ht="17.25" customHeight="1">
      <c r="A26" s="421" t="s">
        <v>170</v>
      </c>
      <c r="B26" s="422"/>
      <c r="C26" s="104">
        <v>3</v>
      </c>
      <c r="D26" s="105">
        <f>C26/C23</f>
        <v>0.0002550586634926033</v>
      </c>
      <c r="E26" s="365" t="s">
        <v>275</v>
      </c>
      <c r="F26" s="373" t="s">
        <v>276</v>
      </c>
      <c r="H26" s="97"/>
      <c r="I26" s="10"/>
      <c r="J26" s="10"/>
      <c r="K26" s="97"/>
    </row>
    <row r="27" spans="1:11" ht="17.25" customHeight="1">
      <c r="A27" s="408" t="s">
        <v>171</v>
      </c>
      <c r="B27" s="409"/>
      <c r="C27" s="103">
        <v>1</v>
      </c>
      <c r="D27" s="102">
        <f>C27/C23</f>
        <v>8.501955449753443E-05</v>
      </c>
      <c r="E27" s="366" t="s">
        <v>277</v>
      </c>
      <c r="F27" s="374" t="s">
        <v>276</v>
      </c>
      <c r="H27" s="97"/>
      <c r="I27" s="10"/>
      <c r="J27" s="10"/>
      <c r="K27" s="97"/>
    </row>
    <row r="28" spans="1:11" ht="17.25" customHeight="1">
      <c r="A28" s="408" t="s">
        <v>172</v>
      </c>
      <c r="B28" s="409"/>
      <c r="C28" s="103">
        <v>1119</v>
      </c>
      <c r="D28" s="102">
        <f>C28/C23</f>
        <v>0.09513688148274103</v>
      </c>
      <c r="E28" s="365" t="s">
        <v>278</v>
      </c>
      <c r="F28" s="372" t="s">
        <v>279</v>
      </c>
      <c r="H28" s="97"/>
      <c r="I28" s="10"/>
      <c r="J28" s="10"/>
      <c r="K28" s="97"/>
    </row>
    <row r="29" spans="1:11" ht="17.25" customHeight="1">
      <c r="A29" s="421" t="s">
        <v>173</v>
      </c>
      <c r="B29" s="422"/>
      <c r="C29" s="104">
        <v>1774</v>
      </c>
      <c r="D29" s="105">
        <f>C29/C23</f>
        <v>0.15082468967862608</v>
      </c>
      <c r="E29" s="367" t="s">
        <v>280</v>
      </c>
      <c r="F29" s="372" t="s">
        <v>281</v>
      </c>
      <c r="H29" s="97"/>
      <c r="I29" s="10"/>
      <c r="J29" s="10"/>
      <c r="K29" s="97"/>
    </row>
    <row r="30" spans="1:11" ht="17.25" customHeight="1">
      <c r="A30" s="408" t="s">
        <v>174</v>
      </c>
      <c r="B30" s="409"/>
      <c r="C30" s="103">
        <v>28</v>
      </c>
      <c r="D30" s="102">
        <f>C30/C23</f>
        <v>0.002380547525930964</v>
      </c>
      <c r="E30" s="366" t="s">
        <v>282</v>
      </c>
      <c r="F30" s="361" t="s">
        <v>283</v>
      </c>
      <c r="H30" s="15"/>
      <c r="I30" s="15"/>
      <c r="J30" s="15"/>
      <c r="K30" s="15"/>
    </row>
    <row r="31" spans="1:11" ht="17.25" customHeight="1">
      <c r="A31" s="408" t="s">
        <v>175</v>
      </c>
      <c r="B31" s="409"/>
      <c r="C31" s="103">
        <v>86</v>
      </c>
      <c r="D31" s="102">
        <f>C31/C23</f>
        <v>0.007311681686787961</v>
      </c>
      <c r="E31" s="365" t="s">
        <v>284</v>
      </c>
      <c r="F31" s="372" t="s">
        <v>285</v>
      </c>
      <c r="G31" s="30"/>
      <c r="H31" s="15"/>
      <c r="I31" s="15"/>
      <c r="J31" s="15"/>
      <c r="K31" s="15"/>
    </row>
    <row r="32" spans="1:11" ht="13.5">
      <c r="A32" s="408" t="s">
        <v>221</v>
      </c>
      <c r="B32" s="409"/>
      <c r="C32" s="103">
        <v>634</v>
      </c>
      <c r="D32" s="102">
        <f>C32/C23</f>
        <v>0.05390239755143683</v>
      </c>
      <c r="E32" s="365" t="s">
        <v>286</v>
      </c>
      <c r="F32" s="372" t="s">
        <v>287</v>
      </c>
      <c r="H32" s="15"/>
      <c r="I32" s="15"/>
      <c r="J32" s="15"/>
      <c r="K32" s="15"/>
    </row>
    <row r="33" spans="1:11" ht="13.5">
      <c r="A33" s="408" t="s">
        <v>222</v>
      </c>
      <c r="B33" s="409"/>
      <c r="C33" s="103">
        <v>1804</v>
      </c>
      <c r="D33" s="102">
        <f>C33/C23</f>
        <v>0.1533752763135521</v>
      </c>
      <c r="E33" s="365" t="s">
        <v>288</v>
      </c>
      <c r="F33" s="372" t="s">
        <v>289</v>
      </c>
      <c r="H33" s="15"/>
      <c r="I33" s="15"/>
      <c r="J33" s="15"/>
      <c r="K33" s="15"/>
    </row>
    <row r="34" spans="1:11" ht="13.5">
      <c r="A34" s="408" t="s">
        <v>176</v>
      </c>
      <c r="B34" s="409"/>
      <c r="C34" s="103">
        <v>157</v>
      </c>
      <c r="D34" s="102">
        <f>C34/C23</f>
        <v>0.013348070056112906</v>
      </c>
      <c r="E34" s="365" t="s">
        <v>290</v>
      </c>
      <c r="F34" s="372" t="s">
        <v>291</v>
      </c>
      <c r="H34" s="15"/>
      <c r="I34" s="15"/>
      <c r="J34" s="15"/>
      <c r="K34" s="15"/>
    </row>
    <row r="35" spans="1:11" ht="13.5">
      <c r="A35" s="408" t="s">
        <v>177</v>
      </c>
      <c r="B35" s="409"/>
      <c r="C35" s="103">
        <v>122</v>
      </c>
      <c r="D35" s="102">
        <f>C35/C23</f>
        <v>0.010372385648699202</v>
      </c>
      <c r="E35" s="365" t="s">
        <v>292</v>
      </c>
      <c r="F35" s="372" t="s">
        <v>293</v>
      </c>
      <c r="H35" s="15"/>
      <c r="I35" s="15"/>
      <c r="J35" s="15"/>
      <c r="K35" s="15"/>
    </row>
    <row r="36" spans="1:11" ht="13.5">
      <c r="A36" s="126" t="s">
        <v>167</v>
      </c>
      <c r="B36" s="100"/>
      <c r="C36" s="103">
        <v>230</v>
      </c>
      <c r="D36" s="102">
        <f>C36/C23</f>
        <v>0.01955449753443292</v>
      </c>
      <c r="E36" s="365" t="s">
        <v>294</v>
      </c>
      <c r="F36" s="372" t="s">
        <v>295</v>
      </c>
      <c r="H36" s="15"/>
      <c r="I36" s="15"/>
      <c r="J36" s="15"/>
      <c r="K36" s="15"/>
    </row>
    <row r="37" spans="1:11" ht="13.5">
      <c r="A37" s="408" t="s">
        <v>178</v>
      </c>
      <c r="B37" s="409"/>
      <c r="C37" s="103">
        <v>462</v>
      </c>
      <c r="D37" s="102">
        <f>C37/C23</f>
        <v>0.03927903417786091</v>
      </c>
      <c r="E37" s="365" t="s">
        <v>296</v>
      </c>
      <c r="F37" s="372" t="s">
        <v>297</v>
      </c>
      <c r="H37" s="15"/>
      <c r="I37" s="15"/>
      <c r="J37" s="15"/>
      <c r="K37" s="15"/>
    </row>
    <row r="38" spans="1:11" ht="13.5">
      <c r="A38" s="126" t="s">
        <v>179</v>
      </c>
      <c r="B38" s="100"/>
      <c r="C38" s="103">
        <v>421</v>
      </c>
      <c r="D38" s="102">
        <f>C38/C23</f>
        <v>0.035793232443462</v>
      </c>
      <c r="E38" s="365" t="s">
        <v>298</v>
      </c>
      <c r="F38" s="372" t="s">
        <v>299</v>
      </c>
      <c r="H38" s="15"/>
      <c r="I38" s="15"/>
      <c r="J38" s="15"/>
      <c r="K38" s="15"/>
    </row>
    <row r="39" spans="1:11" ht="13.5">
      <c r="A39" s="408" t="s">
        <v>180</v>
      </c>
      <c r="B39" s="409"/>
      <c r="C39" s="103">
        <v>640</v>
      </c>
      <c r="D39" s="102">
        <f>C39/C23</f>
        <v>0.05441251487842204</v>
      </c>
      <c r="E39" s="365" t="s">
        <v>300</v>
      </c>
      <c r="F39" s="372" t="s">
        <v>301</v>
      </c>
      <c r="H39" s="15"/>
      <c r="I39" s="17"/>
      <c r="J39" s="17"/>
      <c r="K39" s="17"/>
    </row>
    <row r="40" spans="1:11" ht="13.5">
      <c r="A40" s="408" t="s">
        <v>168</v>
      </c>
      <c r="B40" s="409"/>
      <c r="C40" s="103">
        <v>2147</v>
      </c>
      <c r="D40" s="102">
        <f>C40/C23</f>
        <v>0.18253698350620642</v>
      </c>
      <c r="E40" s="365" t="s">
        <v>302</v>
      </c>
      <c r="F40" s="375" t="s">
        <v>303</v>
      </c>
      <c r="H40" s="15"/>
      <c r="I40" s="15"/>
      <c r="J40" s="15"/>
      <c r="K40" s="15"/>
    </row>
    <row r="41" spans="1:8" ht="13.5">
      <c r="A41" s="408" t="s">
        <v>181</v>
      </c>
      <c r="B41" s="409"/>
      <c r="C41" s="103">
        <v>156</v>
      </c>
      <c r="D41" s="102">
        <f>C41/C23</f>
        <v>0.013263050501615371</v>
      </c>
      <c r="E41" s="365" t="s">
        <v>304</v>
      </c>
      <c r="F41" s="372" t="s">
        <v>284</v>
      </c>
      <c r="H41" s="94"/>
    </row>
    <row r="42" spans="1:8" s="107" customFormat="1" ht="13.5">
      <c r="A42" s="419" t="s">
        <v>182</v>
      </c>
      <c r="B42" s="420"/>
      <c r="C42" s="34">
        <v>649</v>
      </c>
      <c r="D42" s="106">
        <f>C42/C23</f>
        <v>0.05517769086889985</v>
      </c>
      <c r="E42" s="365" t="s">
        <v>305</v>
      </c>
      <c r="F42" s="372">
        <v>235</v>
      </c>
      <c r="G42"/>
      <c r="H42" s="141"/>
    </row>
    <row r="43" spans="1:8" ht="13.5">
      <c r="A43" s="421" t="s">
        <v>183</v>
      </c>
      <c r="B43" s="422"/>
      <c r="C43" s="104">
        <v>434</v>
      </c>
      <c r="D43" s="105">
        <f>C43/C23</f>
        <v>0.03689848665192994</v>
      </c>
      <c r="E43" s="368" t="s">
        <v>299</v>
      </c>
      <c r="F43" s="362" t="s">
        <v>306</v>
      </c>
      <c r="H43" s="94"/>
    </row>
    <row r="44" spans="1:8" ht="13.5">
      <c r="A44" s="412" t="s">
        <v>184</v>
      </c>
      <c r="B44" s="413"/>
      <c r="C44" s="108">
        <v>88</v>
      </c>
      <c r="D44" s="109">
        <f>C44/C23</f>
        <v>0.0074817207957830305</v>
      </c>
      <c r="E44" s="369" t="s">
        <v>307</v>
      </c>
      <c r="F44" s="363" t="s">
        <v>308</v>
      </c>
      <c r="H44" s="94"/>
    </row>
    <row r="45" spans="1:8" s="107" customFormat="1" ht="13.5">
      <c r="A45" s="423" t="s">
        <v>87</v>
      </c>
      <c r="B45" s="424"/>
      <c r="C45" s="110"/>
      <c r="D45" s="110"/>
      <c r="E45" s="111"/>
      <c r="F45" s="376"/>
      <c r="G45" s="1"/>
      <c r="H45" s="141"/>
    </row>
    <row r="46" spans="1:8" ht="13.5">
      <c r="A46" s="417" t="s">
        <v>89</v>
      </c>
      <c r="B46" s="418"/>
      <c r="C46" s="112">
        <v>810</v>
      </c>
      <c r="D46" s="113">
        <f>C46/11674</f>
        <v>0.06938495802638342</v>
      </c>
      <c r="E46" s="365" t="s">
        <v>309</v>
      </c>
      <c r="F46" s="372" t="s">
        <v>272</v>
      </c>
      <c r="H46" s="94"/>
    </row>
    <row r="47" spans="1:8" ht="13.5">
      <c r="A47" s="417" t="s">
        <v>90</v>
      </c>
      <c r="B47" s="418"/>
      <c r="C47" s="112">
        <v>2894</v>
      </c>
      <c r="D47" s="113">
        <f>C47/11674</f>
        <v>0.24790131917080693</v>
      </c>
      <c r="E47" s="367" t="s">
        <v>310</v>
      </c>
      <c r="F47" s="372" t="s">
        <v>311</v>
      </c>
      <c r="H47" s="94"/>
    </row>
    <row r="48" spans="1:8" ht="14.25" thickBot="1">
      <c r="A48" s="415" t="s">
        <v>91</v>
      </c>
      <c r="B48" s="416"/>
      <c r="C48" s="114">
        <v>7970</v>
      </c>
      <c r="D48" s="115">
        <f>C48/11674</f>
        <v>0.6827137228028096</v>
      </c>
      <c r="E48" s="370" t="s">
        <v>312</v>
      </c>
      <c r="F48" s="377" t="s">
        <v>313</v>
      </c>
      <c r="H48" s="94"/>
    </row>
    <row r="49" spans="1:7" s="119" customFormat="1" ht="14.25" customHeight="1">
      <c r="A49" s="133" t="s">
        <v>268</v>
      </c>
      <c r="B49" s="134"/>
      <c r="C49" s="116"/>
      <c r="D49" s="117"/>
      <c r="E49" s="118"/>
      <c r="F49" s="116"/>
      <c r="G49"/>
    </row>
    <row r="50" spans="1:6" ht="13.5">
      <c r="A50" s="135"/>
      <c r="B50" s="135"/>
      <c r="C50" s="136"/>
      <c r="D50" s="120"/>
      <c r="E50" s="120"/>
      <c r="F50" s="120"/>
    </row>
    <row r="51" spans="1:3" ht="13.5">
      <c r="A51" s="135"/>
      <c r="B51" s="135"/>
      <c r="C51" s="135"/>
    </row>
    <row r="52" spans="1:3" ht="13.5">
      <c r="A52" s="135"/>
      <c r="B52" s="135"/>
      <c r="C52" s="135"/>
    </row>
  </sheetData>
  <sheetProtection/>
  <mergeCells count="31">
    <mergeCell ref="E21:E22"/>
    <mergeCell ref="A27:B27"/>
    <mergeCell ref="A28:B28"/>
    <mergeCell ref="A33:B33"/>
    <mergeCell ref="A25:B25"/>
    <mergeCell ref="A26:B26"/>
    <mergeCell ref="A29:B29"/>
    <mergeCell ref="A30:B30"/>
    <mergeCell ref="A34:B34"/>
    <mergeCell ref="A21:B22"/>
    <mergeCell ref="C21:C22"/>
    <mergeCell ref="A39:B39"/>
    <mergeCell ref="A3:D3"/>
    <mergeCell ref="A24:B24"/>
    <mergeCell ref="A48:B48"/>
    <mergeCell ref="A47:B47"/>
    <mergeCell ref="A46:B46"/>
    <mergeCell ref="A42:B42"/>
    <mergeCell ref="A43:B43"/>
    <mergeCell ref="A37:B37"/>
    <mergeCell ref="A45:B45"/>
    <mergeCell ref="E1:G1"/>
    <mergeCell ref="A18:F18"/>
    <mergeCell ref="A31:B31"/>
    <mergeCell ref="F21:F22"/>
    <mergeCell ref="A44:B44"/>
    <mergeCell ref="A40:B40"/>
    <mergeCell ref="A41:B41"/>
    <mergeCell ref="A35:B35"/>
    <mergeCell ref="A32:B32"/>
    <mergeCell ref="A23:B23"/>
  </mergeCells>
  <printOptions/>
  <pageMargins left="0.984251968503937" right="0.3937007874015748" top="0.984251968503937" bottom="0.7874015748031497" header="0.5118110236220472" footer="0.5118110236220472"/>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A1:V40"/>
  <sheetViews>
    <sheetView showGridLines="0" zoomScaleSheetLayoutView="100" zoomScalePageLayoutView="0" workbookViewId="0" topLeftCell="A1">
      <selection activeCell="A1" sqref="A1:C1"/>
    </sheetView>
  </sheetViews>
  <sheetFormatPr defaultColWidth="9.00390625" defaultRowHeight="13.5"/>
  <cols>
    <col min="1" max="1" width="6.625" style="0" customWidth="1"/>
    <col min="2" max="2" width="5.625" style="30" customWidth="1"/>
    <col min="3" max="3" width="12.625" style="30" customWidth="1"/>
    <col min="4" max="5" width="9.625" style="30" customWidth="1"/>
    <col min="6" max="7" width="9.625" style="121" customWidth="1"/>
    <col min="8" max="8" width="9.625" style="127" customWidth="1"/>
    <col min="9" max="9" width="9.625" style="30" customWidth="1"/>
    <col min="10" max="10" width="10.00390625" style="30" customWidth="1"/>
    <col min="11" max="11" width="9.00390625" style="30" customWidth="1"/>
    <col min="12" max="12" width="5.625" style="30" customWidth="1"/>
    <col min="13" max="13" width="9.00390625" style="30" customWidth="1"/>
    <col min="14" max="14" width="9.125" style="30" bestFit="1" customWidth="1"/>
    <col min="15" max="15" width="9.875" style="30" bestFit="1" customWidth="1"/>
    <col min="16" max="17" width="9.125" style="30" bestFit="1" customWidth="1"/>
    <col min="18" max="18" width="9.125" style="127" bestFit="1" customWidth="1"/>
    <col min="19" max="20" width="9.125" style="30" bestFit="1" customWidth="1"/>
    <col min="21" max="21" width="6.625" style="0" customWidth="1"/>
    <col min="22" max="22" width="9.125" style="30" customWidth="1"/>
    <col min="23" max="16384" width="9.00390625" style="30" customWidth="1"/>
  </cols>
  <sheetData>
    <row r="1" spans="1:22" ht="13.5">
      <c r="A1" s="397" t="s">
        <v>319</v>
      </c>
      <c r="B1" s="397"/>
      <c r="C1" s="397"/>
      <c r="N1" s="121"/>
      <c r="P1" s="121"/>
      <c r="Q1" s="121"/>
      <c r="S1" s="388" t="s">
        <v>320</v>
      </c>
      <c r="T1" s="388"/>
      <c r="U1" s="388"/>
      <c r="V1" s="5"/>
    </row>
    <row r="2" spans="2:22" ht="13.5">
      <c r="B2" s="6"/>
      <c r="C2" s="6"/>
      <c r="N2" s="121"/>
      <c r="P2" s="121"/>
      <c r="Q2" s="121"/>
      <c r="S2" s="5"/>
      <c r="T2" s="5"/>
      <c r="V2" s="5"/>
    </row>
    <row r="3" spans="2:22" ht="17.25">
      <c r="B3" s="394" t="s">
        <v>226</v>
      </c>
      <c r="C3" s="396"/>
      <c r="D3" s="396"/>
      <c r="E3" s="396"/>
      <c r="F3" s="396"/>
      <c r="G3" s="396"/>
      <c r="H3" s="396"/>
      <c r="I3" s="396"/>
      <c r="J3" s="396"/>
      <c r="K3" s="481"/>
      <c r="L3" s="482"/>
      <c r="M3" s="482"/>
      <c r="N3" s="482"/>
      <c r="O3" s="482"/>
      <c r="P3" s="482"/>
      <c r="Q3" s="482"/>
      <c r="R3" s="482"/>
      <c r="S3" s="482"/>
      <c r="T3" s="482"/>
      <c r="V3" s="147"/>
    </row>
    <row r="4" spans="2:22" ht="14.25" thickBot="1">
      <c r="B4" s="51"/>
      <c r="C4" s="51"/>
      <c r="D4" s="51"/>
      <c r="E4" s="51"/>
      <c r="F4" s="77"/>
      <c r="G4" s="77"/>
      <c r="H4" s="128"/>
      <c r="I4" s="51"/>
      <c r="J4" s="51"/>
      <c r="N4" s="121"/>
      <c r="P4" s="121"/>
      <c r="Q4" s="29"/>
      <c r="R4" s="483" t="s">
        <v>249</v>
      </c>
      <c r="S4" s="483"/>
      <c r="T4" s="483"/>
      <c r="V4" s="29"/>
    </row>
    <row r="5" spans="2:22" ht="17.25" customHeight="1" thickTop="1">
      <c r="B5" s="470" t="s">
        <v>233</v>
      </c>
      <c r="C5" s="467"/>
      <c r="D5" s="467" t="s">
        <v>129</v>
      </c>
      <c r="E5" s="477" t="s">
        <v>232</v>
      </c>
      <c r="F5" s="478"/>
      <c r="G5" s="479"/>
      <c r="H5" s="462" t="s">
        <v>85</v>
      </c>
      <c r="I5" s="473" t="s">
        <v>148</v>
      </c>
      <c r="J5" s="468" t="s">
        <v>149</v>
      </c>
      <c r="K5" s="438" t="s">
        <v>233</v>
      </c>
      <c r="L5" s="439"/>
      <c r="M5" s="440"/>
      <c r="N5" s="473" t="s">
        <v>129</v>
      </c>
      <c r="O5" s="477" t="s">
        <v>232</v>
      </c>
      <c r="P5" s="478"/>
      <c r="Q5" s="479"/>
      <c r="R5" s="475" t="s">
        <v>85</v>
      </c>
      <c r="S5" s="467" t="s">
        <v>148</v>
      </c>
      <c r="T5" s="468" t="s">
        <v>38</v>
      </c>
      <c r="V5" s="160"/>
    </row>
    <row r="6" spans="2:22" ht="17.25" customHeight="1">
      <c r="B6" s="403"/>
      <c r="C6" s="405"/>
      <c r="D6" s="405"/>
      <c r="E6" s="154" t="s">
        <v>234</v>
      </c>
      <c r="F6" s="122" t="s">
        <v>41</v>
      </c>
      <c r="G6" s="125" t="s">
        <v>42</v>
      </c>
      <c r="H6" s="463"/>
      <c r="I6" s="474"/>
      <c r="J6" s="469"/>
      <c r="K6" s="441"/>
      <c r="L6" s="441"/>
      <c r="M6" s="403"/>
      <c r="N6" s="474"/>
      <c r="O6" s="122" t="s">
        <v>40</v>
      </c>
      <c r="P6" s="122" t="s">
        <v>41</v>
      </c>
      <c r="Q6" s="125" t="s">
        <v>42</v>
      </c>
      <c r="R6" s="476"/>
      <c r="S6" s="405"/>
      <c r="T6" s="469"/>
      <c r="V6" s="160"/>
    </row>
    <row r="7" spans="2:22" s="129" customFormat="1" ht="21" customHeight="1">
      <c r="B7" s="452" t="s">
        <v>150</v>
      </c>
      <c r="C7" s="457"/>
      <c r="D7" s="168">
        <v>184237</v>
      </c>
      <c r="E7" s="168">
        <f>F7+G7</f>
        <v>401339</v>
      </c>
      <c r="F7" s="214">
        <v>189342</v>
      </c>
      <c r="G7" s="214">
        <v>211997</v>
      </c>
      <c r="H7" s="215">
        <v>643.67</v>
      </c>
      <c r="I7" s="216">
        <f>E7/H7</f>
        <v>623.516708872559</v>
      </c>
      <c r="J7" s="217">
        <f>F7/G7*100</f>
        <v>89.31352802162294</v>
      </c>
      <c r="K7" s="466" t="s">
        <v>214</v>
      </c>
      <c r="L7" s="471" t="s">
        <v>52</v>
      </c>
      <c r="M7" s="472"/>
      <c r="N7" s="218">
        <v>10203</v>
      </c>
      <c r="O7" s="218">
        <f>P7+Q7</f>
        <v>25591</v>
      </c>
      <c r="P7" s="219">
        <v>11932</v>
      </c>
      <c r="Q7" s="219">
        <v>13659</v>
      </c>
      <c r="R7" s="220">
        <v>110.02</v>
      </c>
      <c r="S7" s="221">
        <f>O7/R7</f>
        <v>232.6031630612616</v>
      </c>
      <c r="T7" s="222">
        <f>P7/Q7*100</f>
        <v>87.35632183908046</v>
      </c>
      <c r="V7" s="161"/>
    </row>
    <row r="8" spans="2:22" s="129" customFormat="1" ht="21" customHeight="1">
      <c r="B8" s="223"/>
      <c r="C8" s="213" t="s">
        <v>185</v>
      </c>
      <c r="D8" s="168">
        <v>148869</v>
      </c>
      <c r="E8" s="168">
        <f aca="true" t="shared" si="0" ref="E8:E37">F8+G8</f>
        <v>317747</v>
      </c>
      <c r="F8" s="214">
        <v>149488</v>
      </c>
      <c r="G8" s="214">
        <v>168259</v>
      </c>
      <c r="H8" s="215">
        <v>286.96</v>
      </c>
      <c r="I8" s="216">
        <f aca="true" t="shared" si="1" ref="I8:I37">E8/H8</f>
        <v>1107.28672985782</v>
      </c>
      <c r="J8" s="217">
        <f>F8/G8*100</f>
        <v>88.8439845714048</v>
      </c>
      <c r="K8" s="446"/>
      <c r="L8" s="442" t="s">
        <v>138</v>
      </c>
      <c r="M8" s="443"/>
      <c r="N8" s="224">
        <f>SUM(N7)</f>
        <v>10203</v>
      </c>
      <c r="O8" s="225">
        <f aca="true" t="shared" si="2" ref="O8:O31">P8+Q8</f>
        <v>25591</v>
      </c>
      <c r="P8" s="226">
        <v>11932</v>
      </c>
      <c r="Q8" s="226">
        <v>13659</v>
      </c>
      <c r="R8" s="227">
        <f>SUM(R7)</f>
        <v>110.02</v>
      </c>
      <c r="S8" s="228">
        <f aca="true" t="shared" si="3" ref="S8:S13">O8/R8</f>
        <v>232.6031630612616</v>
      </c>
      <c r="T8" s="229">
        <f>P8/Q8*100</f>
        <v>87.35632183908046</v>
      </c>
      <c r="V8" s="161"/>
    </row>
    <row r="9" spans="2:22" s="129" customFormat="1" ht="21" customHeight="1">
      <c r="B9" s="230"/>
      <c r="C9" s="213" t="s">
        <v>186</v>
      </c>
      <c r="D9" s="168">
        <v>13316</v>
      </c>
      <c r="E9" s="168">
        <f t="shared" si="0"/>
        <v>29134</v>
      </c>
      <c r="F9" s="214">
        <v>14177</v>
      </c>
      <c r="G9" s="214">
        <v>14957</v>
      </c>
      <c r="H9" s="215">
        <v>47.81</v>
      </c>
      <c r="I9" s="216">
        <f t="shared" si="1"/>
        <v>609.3704245973645</v>
      </c>
      <c r="J9" s="217">
        <f>F9/G9*100</f>
        <v>94.78505047803704</v>
      </c>
      <c r="K9" s="466" t="s">
        <v>215</v>
      </c>
      <c r="L9" s="458" t="s">
        <v>53</v>
      </c>
      <c r="M9" s="459"/>
      <c r="N9" s="231">
        <v>3763</v>
      </c>
      <c r="O9" s="232">
        <f>P9+Q9</f>
        <v>8639</v>
      </c>
      <c r="P9" s="233">
        <v>4127</v>
      </c>
      <c r="Q9" s="233">
        <v>4512</v>
      </c>
      <c r="R9" s="234">
        <v>85.39</v>
      </c>
      <c r="S9" s="235">
        <f t="shared" si="3"/>
        <v>101.17109731818714</v>
      </c>
      <c r="T9" s="236">
        <f aca="true" t="shared" si="4" ref="T9:T14">P9/Q9*100</f>
        <v>91.46719858156028</v>
      </c>
      <c r="V9" s="162"/>
    </row>
    <row r="10" spans="2:22" s="129" customFormat="1" ht="21" customHeight="1">
      <c r="B10" s="230"/>
      <c r="C10" s="213" t="s">
        <v>187</v>
      </c>
      <c r="D10" s="168">
        <v>4509</v>
      </c>
      <c r="E10" s="168">
        <f t="shared" si="0"/>
        <v>10855</v>
      </c>
      <c r="F10" s="214">
        <v>5101</v>
      </c>
      <c r="G10" s="214">
        <v>5754</v>
      </c>
      <c r="H10" s="215">
        <v>108.3</v>
      </c>
      <c r="I10" s="216">
        <f t="shared" si="1"/>
        <v>100.2308402585411</v>
      </c>
      <c r="J10" s="217">
        <f>F10/G10*100</f>
        <v>88.6513729579423</v>
      </c>
      <c r="K10" s="445"/>
      <c r="L10" s="442" t="s">
        <v>138</v>
      </c>
      <c r="M10" s="443"/>
      <c r="N10" s="224">
        <f>SUM(N9)</f>
        <v>3763</v>
      </c>
      <c r="O10" s="205">
        <f>P10+Q10</f>
        <v>8639</v>
      </c>
      <c r="P10" s="226">
        <v>4127</v>
      </c>
      <c r="Q10" s="226">
        <v>4512</v>
      </c>
      <c r="R10" s="227">
        <f>SUM(R9)</f>
        <v>85.39</v>
      </c>
      <c r="S10" s="228">
        <f>O10/R10</f>
        <v>101.17109731818714</v>
      </c>
      <c r="T10" s="229">
        <f>P10/Q10*100</f>
        <v>91.46719858156028</v>
      </c>
      <c r="V10" s="162"/>
    </row>
    <row r="11" spans="2:22" s="129" customFormat="1" ht="21" customHeight="1">
      <c r="B11" s="230"/>
      <c r="C11" s="213" t="s">
        <v>188</v>
      </c>
      <c r="D11" s="168">
        <v>13140</v>
      </c>
      <c r="E11" s="168">
        <f t="shared" si="0"/>
        <v>32797</v>
      </c>
      <c r="F11" s="214">
        <v>15459</v>
      </c>
      <c r="G11" s="214">
        <v>17338</v>
      </c>
      <c r="H11" s="215">
        <v>56.84</v>
      </c>
      <c r="I11" s="216">
        <f t="shared" si="1"/>
        <v>577.0056298381421</v>
      </c>
      <c r="J11" s="217">
        <f>F11/G11*100</f>
        <v>89.16253316414812</v>
      </c>
      <c r="K11" s="444" t="s">
        <v>165</v>
      </c>
      <c r="L11" s="451" t="s">
        <v>166</v>
      </c>
      <c r="M11" s="452"/>
      <c r="N11" s="214">
        <v>7494</v>
      </c>
      <c r="O11" s="168">
        <f t="shared" si="2"/>
        <v>18398</v>
      </c>
      <c r="P11" s="214">
        <v>8609</v>
      </c>
      <c r="Q11" s="214">
        <v>9789</v>
      </c>
      <c r="R11" s="215">
        <v>130.63</v>
      </c>
      <c r="S11" s="216">
        <f t="shared" si="3"/>
        <v>140.8405419888234</v>
      </c>
      <c r="T11" s="217">
        <f t="shared" si="4"/>
        <v>87.9456532842987</v>
      </c>
      <c r="V11" s="162"/>
    </row>
    <row r="12" spans="2:22" s="129" customFormat="1" ht="21" customHeight="1">
      <c r="B12" s="237"/>
      <c r="C12" s="238" t="s">
        <v>189</v>
      </c>
      <c r="D12" s="239">
        <v>4403</v>
      </c>
      <c r="E12" s="205">
        <f t="shared" si="0"/>
        <v>10806</v>
      </c>
      <c r="F12" s="239">
        <v>5117</v>
      </c>
      <c r="G12" s="239">
        <v>5689</v>
      </c>
      <c r="H12" s="240">
        <v>144.58</v>
      </c>
      <c r="I12" s="216">
        <f t="shared" si="1"/>
        <v>74.74062802600636</v>
      </c>
      <c r="J12" s="241">
        <f aca="true" t="shared" si="5" ref="J12:J37">F12/G12*100</f>
        <v>89.94550887677974</v>
      </c>
      <c r="K12" s="445"/>
      <c r="L12" s="453" t="s">
        <v>55</v>
      </c>
      <c r="M12" s="454"/>
      <c r="N12" s="243">
        <v>2857</v>
      </c>
      <c r="O12" s="168">
        <f t="shared" si="2"/>
        <v>6934</v>
      </c>
      <c r="P12" s="243">
        <v>3267</v>
      </c>
      <c r="Q12" s="243">
        <v>3667</v>
      </c>
      <c r="R12" s="244">
        <v>95.19</v>
      </c>
      <c r="S12" s="245">
        <f t="shared" si="3"/>
        <v>72.84378611198656</v>
      </c>
      <c r="T12" s="246">
        <f>P12/Q12*100</f>
        <v>89.09190073629671</v>
      </c>
      <c r="V12" s="162"/>
    </row>
    <row r="13" spans="2:22" s="129" customFormat="1" ht="21" customHeight="1">
      <c r="B13" s="452" t="s">
        <v>151</v>
      </c>
      <c r="C13" s="457"/>
      <c r="D13" s="168">
        <v>71092</v>
      </c>
      <c r="E13" s="168">
        <f t="shared" si="0"/>
        <v>160640</v>
      </c>
      <c r="F13" s="214">
        <v>75308</v>
      </c>
      <c r="G13" s="214">
        <v>85332</v>
      </c>
      <c r="H13" s="215">
        <v>653.36</v>
      </c>
      <c r="I13" s="235">
        <f t="shared" si="1"/>
        <v>245.86751561160767</v>
      </c>
      <c r="J13" s="217">
        <f t="shared" si="5"/>
        <v>88.2529414522102</v>
      </c>
      <c r="K13" s="446"/>
      <c r="L13" s="442" t="s">
        <v>138</v>
      </c>
      <c r="M13" s="443"/>
      <c r="N13" s="214">
        <f>SUM(N11:N12)</f>
        <v>10351</v>
      </c>
      <c r="O13" s="225">
        <f>O11+O12</f>
        <v>25332</v>
      </c>
      <c r="P13" s="214">
        <f>P11+P12</f>
        <v>11876</v>
      </c>
      <c r="Q13" s="214">
        <f>Q11+Q12</f>
        <v>13456</v>
      </c>
      <c r="R13" s="215">
        <f>SUM(R11:R12)</f>
        <v>225.82</v>
      </c>
      <c r="S13" s="245">
        <f t="shared" si="3"/>
        <v>112.17784075812594</v>
      </c>
      <c r="T13" s="246">
        <f t="shared" si="4"/>
        <v>88.25802615933412</v>
      </c>
      <c r="V13" s="162"/>
    </row>
    <row r="14" spans="2:22" s="129" customFormat="1" ht="21" customHeight="1">
      <c r="B14" s="223"/>
      <c r="C14" s="213" t="s">
        <v>190</v>
      </c>
      <c r="D14" s="168">
        <v>58186</v>
      </c>
      <c r="E14" s="168">
        <f t="shared" si="0"/>
        <v>130355</v>
      </c>
      <c r="F14" s="214">
        <v>61132</v>
      </c>
      <c r="G14" s="214">
        <v>69223</v>
      </c>
      <c r="H14" s="215">
        <v>306.21</v>
      </c>
      <c r="I14" s="216">
        <f t="shared" si="1"/>
        <v>425.704581822932</v>
      </c>
      <c r="J14" s="217">
        <f t="shared" si="5"/>
        <v>88.31168831168831</v>
      </c>
      <c r="K14" s="444" t="s">
        <v>207</v>
      </c>
      <c r="L14" s="458" t="s">
        <v>56</v>
      </c>
      <c r="M14" s="459"/>
      <c r="N14" s="233">
        <v>8685</v>
      </c>
      <c r="O14" s="231">
        <f t="shared" si="2"/>
        <v>19922</v>
      </c>
      <c r="P14" s="233">
        <v>9497</v>
      </c>
      <c r="Q14" s="233">
        <v>10425</v>
      </c>
      <c r="R14" s="234">
        <v>43.8</v>
      </c>
      <c r="S14" s="247">
        <f aca="true" t="shared" si="6" ref="S14:S24">O14/R14</f>
        <v>454.8401826484019</v>
      </c>
      <c r="T14" s="248">
        <f t="shared" si="4"/>
        <v>91.09832134292566</v>
      </c>
      <c r="V14" s="162"/>
    </row>
    <row r="15" spans="2:22" s="129" customFormat="1" ht="21" customHeight="1">
      <c r="B15" s="230"/>
      <c r="C15" s="213" t="s">
        <v>191</v>
      </c>
      <c r="D15" s="168">
        <v>2416</v>
      </c>
      <c r="E15" s="168">
        <f t="shared" si="0"/>
        <v>5817</v>
      </c>
      <c r="F15" s="214">
        <v>2729</v>
      </c>
      <c r="G15" s="214">
        <v>3088</v>
      </c>
      <c r="H15" s="215">
        <v>97.5</v>
      </c>
      <c r="I15" s="216">
        <f t="shared" si="1"/>
        <v>59.66153846153846</v>
      </c>
      <c r="J15" s="217">
        <f t="shared" si="5"/>
        <v>88.37435233160622</v>
      </c>
      <c r="K15" s="445"/>
      <c r="L15" s="451" t="s">
        <v>57</v>
      </c>
      <c r="M15" s="452"/>
      <c r="N15" s="214">
        <v>6430</v>
      </c>
      <c r="O15" s="168">
        <f t="shared" si="2"/>
        <v>16564</v>
      </c>
      <c r="P15" s="214">
        <v>8096</v>
      </c>
      <c r="Q15" s="214">
        <v>8468</v>
      </c>
      <c r="R15" s="215">
        <v>61.53</v>
      </c>
      <c r="S15" s="249">
        <f t="shared" si="6"/>
        <v>269.2020152771006</v>
      </c>
      <c r="T15" s="162">
        <f aca="true" t="shared" si="7" ref="T15:T32">P15/Q15*100</f>
        <v>95.60699102503543</v>
      </c>
      <c r="V15" s="162"/>
    </row>
    <row r="16" spans="2:22" s="129" customFormat="1" ht="21" customHeight="1">
      <c r="B16" s="230"/>
      <c r="C16" s="213" t="s">
        <v>192</v>
      </c>
      <c r="D16" s="168">
        <v>4127</v>
      </c>
      <c r="E16" s="168">
        <f t="shared" si="0"/>
        <v>9789</v>
      </c>
      <c r="F16" s="214">
        <v>4537</v>
      </c>
      <c r="G16" s="214">
        <v>5252</v>
      </c>
      <c r="H16" s="215">
        <v>94.21</v>
      </c>
      <c r="I16" s="216">
        <f t="shared" si="1"/>
        <v>103.90616707355908</v>
      </c>
      <c r="J16" s="217">
        <f>F16/G16*100</f>
        <v>86.38613861386139</v>
      </c>
      <c r="K16" s="445"/>
      <c r="L16" s="451" t="s">
        <v>153</v>
      </c>
      <c r="M16" s="452"/>
      <c r="N16" s="214">
        <v>502</v>
      </c>
      <c r="O16" s="168">
        <f t="shared" si="2"/>
        <v>1000</v>
      </c>
      <c r="P16" s="214">
        <v>492</v>
      </c>
      <c r="Q16" s="214">
        <v>508</v>
      </c>
      <c r="R16" s="215">
        <v>271.51</v>
      </c>
      <c r="S16" s="249">
        <f t="shared" si="6"/>
        <v>3.6831055946373983</v>
      </c>
      <c r="T16" s="162">
        <f t="shared" si="7"/>
        <v>96.8503937007874</v>
      </c>
      <c r="V16" s="162"/>
    </row>
    <row r="17" spans="2:22" s="129" customFormat="1" ht="21" customHeight="1">
      <c r="B17" s="230"/>
      <c r="C17" s="213" t="s">
        <v>193</v>
      </c>
      <c r="D17" s="168">
        <v>2814</v>
      </c>
      <c r="E17" s="168">
        <f t="shared" si="0"/>
        <v>6531</v>
      </c>
      <c r="F17" s="214">
        <v>3087</v>
      </c>
      <c r="G17" s="214">
        <v>3444</v>
      </c>
      <c r="H17" s="215">
        <v>62.2</v>
      </c>
      <c r="I17" s="216">
        <f t="shared" si="1"/>
        <v>105</v>
      </c>
      <c r="J17" s="217">
        <f t="shared" si="5"/>
        <v>89.63414634146342</v>
      </c>
      <c r="K17" s="445"/>
      <c r="L17" s="451" t="s">
        <v>155</v>
      </c>
      <c r="M17" s="452"/>
      <c r="N17" s="214">
        <v>1886</v>
      </c>
      <c r="O17" s="168">
        <f t="shared" si="2"/>
        <v>4895</v>
      </c>
      <c r="P17" s="214">
        <v>2250</v>
      </c>
      <c r="Q17" s="214">
        <v>2645</v>
      </c>
      <c r="R17" s="215">
        <v>145.96</v>
      </c>
      <c r="S17" s="249">
        <f t="shared" si="6"/>
        <v>33.536585365853654</v>
      </c>
      <c r="T17" s="162">
        <f t="shared" si="7"/>
        <v>85.06616257088847</v>
      </c>
      <c r="V17" s="162"/>
    </row>
    <row r="18" spans="2:22" s="129" customFormat="1" ht="21" customHeight="1">
      <c r="B18" s="230"/>
      <c r="C18" s="213" t="s">
        <v>194</v>
      </c>
      <c r="D18" s="168">
        <v>3549</v>
      </c>
      <c r="E18" s="168">
        <f t="shared" si="0"/>
        <v>8148</v>
      </c>
      <c r="F18" s="214">
        <v>3823</v>
      </c>
      <c r="G18" s="214">
        <v>4325</v>
      </c>
      <c r="H18" s="215">
        <v>93.19</v>
      </c>
      <c r="I18" s="250">
        <f t="shared" si="1"/>
        <v>87.43427406374074</v>
      </c>
      <c r="J18" s="217">
        <f t="shared" si="5"/>
        <v>88.39306358381502</v>
      </c>
      <c r="K18" s="445"/>
      <c r="L18" s="451" t="s">
        <v>157</v>
      </c>
      <c r="M18" s="452"/>
      <c r="N18" s="214">
        <v>6036</v>
      </c>
      <c r="O18" s="168">
        <f t="shared" si="2"/>
        <v>15194</v>
      </c>
      <c r="P18" s="214">
        <v>7147</v>
      </c>
      <c r="Q18" s="214">
        <v>8047</v>
      </c>
      <c r="R18" s="215">
        <v>90.12</v>
      </c>
      <c r="S18" s="249">
        <f t="shared" si="6"/>
        <v>168.59742565468264</v>
      </c>
      <c r="T18" s="162">
        <f t="shared" si="7"/>
        <v>88.81570771716167</v>
      </c>
      <c r="V18" s="162"/>
    </row>
    <row r="19" spans="2:22" s="129" customFormat="1" ht="21" customHeight="1">
      <c r="B19" s="459" t="s">
        <v>152</v>
      </c>
      <c r="C19" s="464"/>
      <c r="D19" s="231">
        <v>51566</v>
      </c>
      <c r="E19" s="231">
        <f t="shared" si="0"/>
        <v>118394</v>
      </c>
      <c r="F19" s="233">
        <v>56100</v>
      </c>
      <c r="G19" s="233">
        <v>62294</v>
      </c>
      <c r="H19" s="234">
        <v>868.02</v>
      </c>
      <c r="I19" s="216">
        <f t="shared" si="1"/>
        <v>136.39547475864612</v>
      </c>
      <c r="J19" s="236">
        <f t="shared" si="5"/>
        <v>90.05682730279</v>
      </c>
      <c r="K19" s="445"/>
      <c r="L19" s="453" t="s">
        <v>61</v>
      </c>
      <c r="M19" s="454"/>
      <c r="N19" s="243">
        <v>3960</v>
      </c>
      <c r="O19" s="251">
        <f t="shared" si="2"/>
        <v>9906</v>
      </c>
      <c r="P19" s="243">
        <v>4677</v>
      </c>
      <c r="Q19" s="243">
        <v>5229</v>
      </c>
      <c r="R19" s="244">
        <v>102.11</v>
      </c>
      <c r="S19" s="252">
        <f t="shared" si="6"/>
        <v>97.01302516893546</v>
      </c>
      <c r="T19" s="253">
        <f t="shared" si="7"/>
        <v>89.44348823866896</v>
      </c>
      <c r="V19" s="162"/>
    </row>
    <row r="20" spans="2:22" s="129" customFormat="1" ht="21" customHeight="1">
      <c r="B20" s="223"/>
      <c r="C20" s="213" t="s">
        <v>195</v>
      </c>
      <c r="D20" s="168">
        <v>47752</v>
      </c>
      <c r="E20" s="168">
        <f t="shared" si="0"/>
        <v>108792</v>
      </c>
      <c r="F20" s="214">
        <v>51567</v>
      </c>
      <c r="G20" s="214">
        <v>57225</v>
      </c>
      <c r="H20" s="215">
        <v>283.81</v>
      </c>
      <c r="I20" s="216">
        <f t="shared" si="1"/>
        <v>383.32687361262816</v>
      </c>
      <c r="J20" s="217">
        <f t="shared" si="5"/>
        <v>90.11271297509829</v>
      </c>
      <c r="K20" s="446"/>
      <c r="L20" s="442" t="s">
        <v>138</v>
      </c>
      <c r="M20" s="443"/>
      <c r="N20" s="239">
        <f>SUM(N14:N19)</f>
        <v>27499</v>
      </c>
      <c r="O20" s="168">
        <f>SUM(O14:O19)</f>
        <v>67481</v>
      </c>
      <c r="P20" s="168">
        <f>SUM(P14:P19)</f>
        <v>32159</v>
      </c>
      <c r="Q20" s="168">
        <f>SUM(Q14:Q19)</f>
        <v>35322</v>
      </c>
      <c r="R20" s="240">
        <f>SUM(R14:R19)</f>
        <v>715.03</v>
      </c>
      <c r="S20" s="254">
        <f t="shared" si="6"/>
        <v>94.37506118624394</v>
      </c>
      <c r="T20" s="255">
        <f t="shared" si="7"/>
        <v>91.04524092633486</v>
      </c>
      <c r="V20" s="162"/>
    </row>
    <row r="21" spans="2:22" s="129" customFormat="1" ht="21" customHeight="1">
      <c r="B21" s="230"/>
      <c r="C21" s="213" t="s">
        <v>196</v>
      </c>
      <c r="D21" s="214">
        <v>1304</v>
      </c>
      <c r="E21" s="168">
        <f t="shared" si="0"/>
        <v>3338</v>
      </c>
      <c r="F21" s="214">
        <v>1580</v>
      </c>
      <c r="G21" s="214">
        <v>1758</v>
      </c>
      <c r="H21" s="215">
        <v>200.7</v>
      </c>
      <c r="I21" s="216">
        <f t="shared" si="1"/>
        <v>16.63178873941206</v>
      </c>
      <c r="J21" s="162">
        <f t="shared" si="5"/>
        <v>89.87485779294653</v>
      </c>
      <c r="K21" s="444" t="s">
        <v>211</v>
      </c>
      <c r="L21" s="458" t="s">
        <v>161</v>
      </c>
      <c r="M21" s="459"/>
      <c r="N21" s="214">
        <v>6874</v>
      </c>
      <c r="O21" s="231">
        <f t="shared" si="2"/>
        <v>17379</v>
      </c>
      <c r="P21" s="233">
        <v>8276</v>
      </c>
      <c r="Q21" s="233">
        <v>9103</v>
      </c>
      <c r="R21" s="215">
        <v>120.4</v>
      </c>
      <c r="S21" s="249">
        <f t="shared" si="6"/>
        <v>144.343853820598</v>
      </c>
      <c r="T21" s="162">
        <f t="shared" si="7"/>
        <v>90.91508293969022</v>
      </c>
      <c r="V21" s="162"/>
    </row>
    <row r="22" spans="2:22" s="129" customFormat="1" ht="21" customHeight="1">
      <c r="B22" s="230"/>
      <c r="C22" s="213" t="s">
        <v>197</v>
      </c>
      <c r="D22" s="214">
        <v>1216</v>
      </c>
      <c r="E22" s="168">
        <f t="shared" si="0"/>
        <v>3207</v>
      </c>
      <c r="F22" s="214">
        <v>1469</v>
      </c>
      <c r="G22" s="214">
        <v>1738</v>
      </c>
      <c r="H22" s="215">
        <v>279.91</v>
      </c>
      <c r="I22" s="216">
        <f t="shared" si="1"/>
        <v>11.457254117394877</v>
      </c>
      <c r="J22" s="162">
        <f t="shared" si="5"/>
        <v>84.52243958573072</v>
      </c>
      <c r="K22" s="445"/>
      <c r="L22" s="457" t="s">
        <v>63</v>
      </c>
      <c r="M22" s="457"/>
      <c r="N22" s="214">
        <v>628</v>
      </c>
      <c r="O22" s="168">
        <f t="shared" si="2"/>
        <v>1486</v>
      </c>
      <c r="P22" s="214">
        <v>725</v>
      </c>
      <c r="Q22" s="214">
        <v>761</v>
      </c>
      <c r="R22" s="215">
        <v>187.56</v>
      </c>
      <c r="S22" s="216">
        <f t="shared" si="6"/>
        <v>7.9227980379611855</v>
      </c>
      <c r="T22" s="217">
        <f>P22/Q22*100</f>
        <v>95.26938239159001</v>
      </c>
      <c r="V22" s="162"/>
    </row>
    <row r="23" spans="2:22" s="129" customFormat="1" ht="21" customHeight="1">
      <c r="B23" s="230"/>
      <c r="C23" s="213" t="s">
        <v>198</v>
      </c>
      <c r="D23" s="214">
        <v>1294</v>
      </c>
      <c r="E23" s="168">
        <f t="shared" si="0"/>
        <v>3057</v>
      </c>
      <c r="F23" s="214">
        <v>1484</v>
      </c>
      <c r="G23" s="214">
        <v>1573</v>
      </c>
      <c r="H23" s="215">
        <v>103.49</v>
      </c>
      <c r="I23" s="216">
        <f t="shared" si="1"/>
        <v>29.53908590201952</v>
      </c>
      <c r="J23" s="162">
        <f t="shared" si="5"/>
        <v>94.34202161474889</v>
      </c>
      <c r="K23" s="445"/>
      <c r="L23" s="457" t="s">
        <v>163</v>
      </c>
      <c r="M23" s="457"/>
      <c r="N23" s="214">
        <v>1057</v>
      </c>
      <c r="O23" s="168">
        <f t="shared" si="2"/>
        <v>2503</v>
      </c>
      <c r="P23" s="214">
        <v>1268</v>
      </c>
      <c r="Q23" s="214">
        <v>1235</v>
      </c>
      <c r="R23" s="215">
        <v>537.29</v>
      </c>
      <c r="S23" s="216">
        <f t="shared" si="6"/>
        <v>4.658564276275382</v>
      </c>
      <c r="T23" s="217">
        <f>P23/Q23*100</f>
        <v>102.67206477732793</v>
      </c>
      <c r="V23" s="162"/>
    </row>
    <row r="24" spans="2:22" s="129" customFormat="1" ht="21" customHeight="1">
      <c r="B24" s="459" t="s">
        <v>154</v>
      </c>
      <c r="C24" s="464"/>
      <c r="D24" s="231">
        <v>22071</v>
      </c>
      <c r="E24" s="231">
        <f t="shared" si="0"/>
        <v>50848</v>
      </c>
      <c r="F24" s="233">
        <v>23930</v>
      </c>
      <c r="G24" s="233">
        <v>26918</v>
      </c>
      <c r="H24" s="234">
        <v>536.11</v>
      </c>
      <c r="I24" s="235">
        <f t="shared" si="1"/>
        <v>94.84620693514391</v>
      </c>
      <c r="J24" s="236">
        <f t="shared" si="5"/>
        <v>88.89962107140204</v>
      </c>
      <c r="K24" s="445"/>
      <c r="L24" s="465" t="s">
        <v>101</v>
      </c>
      <c r="M24" s="465"/>
      <c r="N24" s="256">
        <v>2137</v>
      </c>
      <c r="O24" s="168">
        <f>P24+Q24</f>
        <v>4826</v>
      </c>
      <c r="P24" s="256">
        <v>2337</v>
      </c>
      <c r="Q24" s="256">
        <v>2489</v>
      </c>
      <c r="R24" s="215">
        <v>448.84</v>
      </c>
      <c r="S24" s="216">
        <f t="shared" si="6"/>
        <v>10.752161126459319</v>
      </c>
      <c r="T24" s="217">
        <f>P24/Q24*100</f>
        <v>93.89312977099237</v>
      </c>
      <c r="V24" s="162"/>
    </row>
    <row r="25" spans="2:22" s="129" customFormat="1" ht="21" customHeight="1">
      <c r="B25" s="223"/>
      <c r="C25" s="213" t="s">
        <v>199</v>
      </c>
      <c r="D25" s="168">
        <v>16726</v>
      </c>
      <c r="E25" s="168">
        <f t="shared" si="0"/>
        <v>37955</v>
      </c>
      <c r="F25" s="214">
        <v>17866</v>
      </c>
      <c r="G25" s="214">
        <v>20089</v>
      </c>
      <c r="H25" s="215">
        <v>294.46</v>
      </c>
      <c r="I25" s="216">
        <f t="shared" si="1"/>
        <v>128.89696393398086</v>
      </c>
      <c r="J25" s="217">
        <f t="shared" si="5"/>
        <v>88.93424262033949</v>
      </c>
      <c r="K25" s="445"/>
      <c r="L25" s="257"/>
      <c r="M25" s="213" t="s">
        <v>208</v>
      </c>
      <c r="N25" s="214">
        <v>702</v>
      </c>
      <c r="O25" s="168">
        <f t="shared" si="2"/>
        <v>1555</v>
      </c>
      <c r="P25" s="214">
        <v>756</v>
      </c>
      <c r="Q25" s="214">
        <v>799</v>
      </c>
      <c r="R25" s="215">
        <v>190.23</v>
      </c>
      <c r="S25" s="249">
        <f aca="true" t="shared" si="8" ref="S25:S35">O25/R25</f>
        <v>8.174315302528518</v>
      </c>
      <c r="T25" s="162">
        <f t="shared" si="7"/>
        <v>94.61827284105131</v>
      </c>
      <c r="V25" s="162"/>
    </row>
    <row r="26" spans="2:22" s="129" customFormat="1" ht="21" customHeight="1">
      <c r="B26" s="258"/>
      <c r="C26" s="213" t="s">
        <v>200</v>
      </c>
      <c r="D26" s="168">
        <v>1573</v>
      </c>
      <c r="E26" s="168">
        <f t="shared" si="0"/>
        <v>3971</v>
      </c>
      <c r="F26" s="214">
        <v>1832</v>
      </c>
      <c r="G26" s="214">
        <v>2139</v>
      </c>
      <c r="H26" s="215">
        <v>178.49</v>
      </c>
      <c r="I26" s="216">
        <f t="shared" si="1"/>
        <v>22.247744971707096</v>
      </c>
      <c r="J26" s="217">
        <f t="shared" si="5"/>
        <v>85.64749883122956</v>
      </c>
      <c r="K26" s="445"/>
      <c r="L26" s="257"/>
      <c r="M26" s="213" t="s">
        <v>209</v>
      </c>
      <c r="N26" s="214">
        <v>772</v>
      </c>
      <c r="O26" s="168">
        <f t="shared" si="2"/>
        <v>1809</v>
      </c>
      <c r="P26" s="214">
        <v>876</v>
      </c>
      <c r="Q26" s="214">
        <v>933</v>
      </c>
      <c r="R26" s="215">
        <v>138.32</v>
      </c>
      <c r="S26" s="249">
        <f t="shared" si="8"/>
        <v>13.078368999421631</v>
      </c>
      <c r="T26" s="162">
        <f t="shared" si="7"/>
        <v>93.89067524115757</v>
      </c>
      <c r="V26" s="162"/>
    </row>
    <row r="27" spans="2:22" s="129" customFormat="1" ht="21" customHeight="1">
      <c r="B27" s="258"/>
      <c r="C27" s="213" t="s">
        <v>201</v>
      </c>
      <c r="D27" s="168">
        <v>3772</v>
      </c>
      <c r="E27" s="168">
        <f t="shared" si="0"/>
        <v>8922</v>
      </c>
      <c r="F27" s="214">
        <v>4232</v>
      </c>
      <c r="G27" s="214">
        <v>4690</v>
      </c>
      <c r="H27" s="215">
        <v>63.16</v>
      </c>
      <c r="I27" s="250">
        <f t="shared" si="1"/>
        <v>141.26029132362257</v>
      </c>
      <c r="J27" s="217">
        <f t="shared" si="5"/>
        <v>90.23454157782515</v>
      </c>
      <c r="K27" s="445"/>
      <c r="L27" s="259"/>
      <c r="M27" s="242" t="s">
        <v>210</v>
      </c>
      <c r="N27" s="243">
        <v>663</v>
      </c>
      <c r="O27" s="251">
        <f t="shared" si="2"/>
        <v>1462</v>
      </c>
      <c r="P27" s="243">
        <v>705</v>
      </c>
      <c r="Q27" s="243">
        <v>757</v>
      </c>
      <c r="R27" s="244">
        <v>120.17</v>
      </c>
      <c r="S27" s="252">
        <f t="shared" si="8"/>
        <v>12.166098027793959</v>
      </c>
      <c r="T27" s="253">
        <f t="shared" si="7"/>
        <v>93.13077939233818</v>
      </c>
      <c r="V27" s="162"/>
    </row>
    <row r="28" spans="2:22" s="129" customFormat="1" ht="21" customHeight="1">
      <c r="B28" s="459" t="s">
        <v>156</v>
      </c>
      <c r="C28" s="464"/>
      <c r="D28" s="231">
        <v>19162</v>
      </c>
      <c r="E28" s="231">
        <f t="shared" si="0"/>
        <v>43670</v>
      </c>
      <c r="F28" s="233">
        <v>20327</v>
      </c>
      <c r="G28" s="233">
        <v>23343</v>
      </c>
      <c r="H28" s="234">
        <v>562.95</v>
      </c>
      <c r="I28" s="216">
        <f t="shared" si="1"/>
        <v>77.57349675814903</v>
      </c>
      <c r="J28" s="236">
        <f t="shared" si="5"/>
        <v>87.07963843550529</v>
      </c>
      <c r="K28" s="446"/>
      <c r="L28" s="455" t="s">
        <v>138</v>
      </c>
      <c r="M28" s="456"/>
      <c r="N28" s="239">
        <f>SUM(N21:N24)</f>
        <v>10696</v>
      </c>
      <c r="O28" s="168">
        <f>SUM(O21:O24)</f>
        <v>26194</v>
      </c>
      <c r="P28" s="224">
        <f>SUM(P21:P24)</f>
        <v>12606</v>
      </c>
      <c r="Q28" s="224">
        <f>SUM(Q21:Q24)</f>
        <v>13588</v>
      </c>
      <c r="R28" s="260">
        <f>SUM(R21:R24)</f>
        <v>1294.09</v>
      </c>
      <c r="S28" s="250">
        <f t="shared" si="8"/>
        <v>20.24125060853573</v>
      </c>
      <c r="T28" s="255">
        <f t="shared" si="7"/>
        <v>92.77303503090963</v>
      </c>
      <c r="V28" s="162"/>
    </row>
    <row r="29" spans="2:22" s="129" customFormat="1" ht="21" customHeight="1">
      <c r="B29" s="223"/>
      <c r="C29" s="213" t="s">
        <v>202</v>
      </c>
      <c r="D29" s="168">
        <v>15445</v>
      </c>
      <c r="E29" s="168">
        <f t="shared" si="0"/>
        <v>35264</v>
      </c>
      <c r="F29" s="214">
        <v>16434</v>
      </c>
      <c r="G29" s="214">
        <v>18830</v>
      </c>
      <c r="H29" s="215">
        <v>230.76</v>
      </c>
      <c r="I29" s="216">
        <f t="shared" si="1"/>
        <v>152.8167793378402</v>
      </c>
      <c r="J29" s="217">
        <f t="shared" si="5"/>
        <v>87.27562400424854</v>
      </c>
      <c r="K29" s="444" t="s">
        <v>164</v>
      </c>
      <c r="L29" s="458" t="s">
        <v>65</v>
      </c>
      <c r="M29" s="459"/>
      <c r="N29" s="214">
        <v>4519</v>
      </c>
      <c r="O29" s="231">
        <f t="shared" si="2"/>
        <v>11642</v>
      </c>
      <c r="P29" s="214">
        <v>5604</v>
      </c>
      <c r="Q29" s="214">
        <v>6038</v>
      </c>
      <c r="R29" s="215">
        <v>237.54</v>
      </c>
      <c r="S29" s="249">
        <f t="shared" si="8"/>
        <v>49.010692935926585</v>
      </c>
      <c r="T29" s="162">
        <f t="shared" si="7"/>
        <v>92.81218946671082</v>
      </c>
      <c r="V29" s="162"/>
    </row>
    <row r="30" spans="2:22" s="129" customFormat="1" ht="21" customHeight="1">
      <c r="B30" s="261"/>
      <c r="C30" s="213" t="s">
        <v>203</v>
      </c>
      <c r="D30" s="168">
        <v>3066</v>
      </c>
      <c r="E30" s="168">
        <f t="shared" si="0"/>
        <v>6993</v>
      </c>
      <c r="F30" s="214">
        <v>3237</v>
      </c>
      <c r="G30" s="214">
        <v>3756</v>
      </c>
      <c r="H30" s="215">
        <v>88.86</v>
      </c>
      <c r="I30" s="216">
        <f t="shared" si="1"/>
        <v>78.6968264686023</v>
      </c>
      <c r="J30" s="217">
        <f>F30/G30*100</f>
        <v>86.18210862619809</v>
      </c>
      <c r="K30" s="445"/>
      <c r="L30" s="451" t="s">
        <v>66</v>
      </c>
      <c r="M30" s="452"/>
      <c r="N30" s="214">
        <v>1493</v>
      </c>
      <c r="O30" s="168">
        <f t="shared" si="2"/>
        <v>3635</v>
      </c>
      <c r="P30" s="214">
        <v>1745</v>
      </c>
      <c r="Q30" s="214">
        <v>1890</v>
      </c>
      <c r="R30" s="215">
        <v>277.67</v>
      </c>
      <c r="S30" s="249">
        <f t="shared" si="8"/>
        <v>13.091079338783448</v>
      </c>
      <c r="T30" s="162">
        <f t="shared" si="7"/>
        <v>92.32804232804233</v>
      </c>
      <c r="V30" s="162"/>
    </row>
    <row r="31" spans="2:22" s="129" customFormat="1" ht="21" customHeight="1">
      <c r="B31" s="237"/>
      <c r="C31" s="238" t="s">
        <v>204</v>
      </c>
      <c r="D31" s="205">
        <v>651</v>
      </c>
      <c r="E31" s="205">
        <f t="shared" si="0"/>
        <v>1413</v>
      </c>
      <c r="F31" s="239">
        <v>656</v>
      </c>
      <c r="G31" s="239">
        <v>757</v>
      </c>
      <c r="H31" s="240">
        <v>243.47</v>
      </c>
      <c r="I31" s="216">
        <f t="shared" si="1"/>
        <v>5.803589764652729</v>
      </c>
      <c r="J31" s="241">
        <f t="shared" si="5"/>
        <v>86.65785997357992</v>
      </c>
      <c r="K31" s="445"/>
      <c r="L31" s="453" t="s">
        <v>67</v>
      </c>
      <c r="M31" s="454"/>
      <c r="N31" s="243">
        <v>1234</v>
      </c>
      <c r="O31" s="251">
        <f t="shared" si="2"/>
        <v>3472</v>
      </c>
      <c r="P31" s="243">
        <v>1697</v>
      </c>
      <c r="Q31" s="243">
        <v>1775</v>
      </c>
      <c r="R31" s="244">
        <v>171.73</v>
      </c>
      <c r="S31" s="245">
        <f t="shared" si="8"/>
        <v>20.21778373027427</v>
      </c>
      <c r="T31" s="253">
        <f t="shared" si="7"/>
        <v>95.6056338028169</v>
      </c>
      <c r="V31" s="162"/>
    </row>
    <row r="32" spans="2:22" s="129" customFormat="1" ht="21" customHeight="1">
      <c r="B32" s="452" t="s">
        <v>158</v>
      </c>
      <c r="C32" s="457"/>
      <c r="D32" s="168">
        <v>25111</v>
      </c>
      <c r="E32" s="168">
        <f t="shared" si="0"/>
        <v>59629</v>
      </c>
      <c r="F32" s="214">
        <v>28372</v>
      </c>
      <c r="G32" s="214">
        <v>31257</v>
      </c>
      <c r="H32" s="215">
        <v>336.95</v>
      </c>
      <c r="I32" s="235">
        <f t="shared" si="1"/>
        <v>176.96690903694912</v>
      </c>
      <c r="J32" s="217">
        <f t="shared" si="5"/>
        <v>90.77006750487891</v>
      </c>
      <c r="K32" s="446"/>
      <c r="L32" s="442" t="s">
        <v>138</v>
      </c>
      <c r="M32" s="443"/>
      <c r="N32" s="239">
        <f>SUM(N29:N31)</f>
        <v>7246</v>
      </c>
      <c r="O32" s="205">
        <f>P32+Q32</f>
        <v>18749</v>
      </c>
      <c r="P32" s="239">
        <f>P29+P30+P31</f>
        <v>9046</v>
      </c>
      <c r="Q32" s="239">
        <f>Q29+Q30+Q31</f>
        <v>9703</v>
      </c>
      <c r="R32" s="240">
        <v>686.93</v>
      </c>
      <c r="S32" s="250">
        <f t="shared" si="8"/>
        <v>27.293901853172816</v>
      </c>
      <c r="T32" s="262">
        <f t="shared" si="7"/>
        <v>93.22889827888282</v>
      </c>
      <c r="V32" s="162"/>
    </row>
    <row r="33" spans="2:22" s="129" customFormat="1" ht="21" customHeight="1">
      <c r="B33" s="223"/>
      <c r="C33" s="213" t="s">
        <v>205</v>
      </c>
      <c r="D33" s="168">
        <v>23615</v>
      </c>
      <c r="E33" s="168">
        <f t="shared" si="0"/>
        <v>56076</v>
      </c>
      <c r="F33" s="214">
        <v>26686</v>
      </c>
      <c r="G33" s="214">
        <v>29390</v>
      </c>
      <c r="H33" s="215">
        <v>117.43</v>
      </c>
      <c r="I33" s="216">
        <f t="shared" si="1"/>
        <v>477.5270373839734</v>
      </c>
      <c r="J33" s="217">
        <f t="shared" si="5"/>
        <v>90.79959169785641</v>
      </c>
      <c r="K33" s="449" t="s">
        <v>235</v>
      </c>
      <c r="L33" s="449"/>
      <c r="M33" s="450"/>
      <c r="N33" s="205">
        <f>D7+D13+D19+D24+D28+D32+D35+D36+D37</f>
        <v>400297</v>
      </c>
      <c r="O33" s="205">
        <f>E7+E13+E19+E24+E28+E32+E35+E36+E37</f>
        <v>897590</v>
      </c>
      <c r="P33" s="239">
        <f>F7+F13+F19+F24+F28+F32+F35+F36+F37</f>
        <v>423017</v>
      </c>
      <c r="Q33" s="239">
        <f>G7+G13+G19+G24+G28+G32+G35+G36+G37</f>
        <v>474573</v>
      </c>
      <c r="R33" s="240">
        <v>4617.95</v>
      </c>
      <c r="S33" s="250">
        <f t="shared" si="8"/>
        <v>194.36979612165572</v>
      </c>
      <c r="T33" s="241">
        <f>P33/Q33*100</f>
        <v>89.13633940405376</v>
      </c>
      <c r="V33" s="162"/>
    </row>
    <row r="34" spans="2:22" s="129" customFormat="1" ht="21.75" customHeight="1">
      <c r="B34" s="230"/>
      <c r="C34" s="213" t="s">
        <v>206</v>
      </c>
      <c r="D34" s="214">
        <v>1496</v>
      </c>
      <c r="E34" s="168">
        <f t="shared" si="0"/>
        <v>3553</v>
      </c>
      <c r="F34" s="214">
        <v>1686</v>
      </c>
      <c r="G34" s="214">
        <v>1867</v>
      </c>
      <c r="H34" s="215">
        <v>218.73</v>
      </c>
      <c r="I34" s="250">
        <f t="shared" si="1"/>
        <v>16.24377085904997</v>
      </c>
      <c r="J34" s="162">
        <f t="shared" si="5"/>
        <v>90.30530262453134</v>
      </c>
      <c r="K34" s="434" t="s">
        <v>212</v>
      </c>
      <c r="L34" s="434"/>
      <c r="M34" s="435"/>
      <c r="N34" s="263">
        <f>N8+N10+N13+N20+N28+N32</f>
        <v>69758</v>
      </c>
      <c r="O34" s="239">
        <f>O8+O10+O13+O20+O28+O32</f>
        <v>171986</v>
      </c>
      <c r="P34" s="205">
        <f>P8+P10+P13+P20+P28+P32</f>
        <v>81746</v>
      </c>
      <c r="Q34" s="239">
        <f>Q8+Q10+Q13+Q20+Q28+Q32</f>
        <v>90240</v>
      </c>
      <c r="R34" s="264">
        <v>3117.27</v>
      </c>
      <c r="S34" s="250">
        <f t="shared" si="8"/>
        <v>55.17199344298056</v>
      </c>
      <c r="T34" s="241">
        <f>P34/Q34*100</f>
        <v>90.58732269503547</v>
      </c>
      <c r="V34" s="162"/>
    </row>
    <row r="35" spans="2:22" s="129" customFormat="1" ht="21.75" customHeight="1" thickBot="1">
      <c r="B35" s="447" t="s">
        <v>159</v>
      </c>
      <c r="C35" s="448"/>
      <c r="D35" s="265">
        <v>7225</v>
      </c>
      <c r="E35" s="265">
        <f t="shared" si="0"/>
        <v>16822</v>
      </c>
      <c r="F35" s="266">
        <v>7876</v>
      </c>
      <c r="G35" s="266">
        <v>8946</v>
      </c>
      <c r="H35" s="267">
        <v>295.17</v>
      </c>
      <c r="I35" s="216">
        <f t="shared" si="1"/>
        <v>56.990886607717584</v>
      </c>
      <c r="J35" s="268">
        <f t="shared" si="5"/>
        <v>88.03934719427677</v>
      </c>
      <c r="K35" s="436" t="s">
        <v>213</v>
      </c>
      <c r="L35" s="436"/>
      <c r="M35" s="437"/>
      <c r="N35" s="269">
        <f>SUM(N33:N34)</f>
        <v>470055</v>
      </c>
      <c r="O35" s="270">
        <f>SUM(O33:O34)</f>
        <v>1069576</v>
      </c>
      <c r="P35" s="271">
        <f>SUM(P33:P34)</f>
        <v>504763</v>
      </c>
      <c r="Q35" s="270">
        <f>SUM(Q33:Q34)</f>
        <v>564813</v>
      </c>
      <c r="R35" s="272">
        <v>7735.22</v>
      </c>
      <c r="S35" s="273">
        <f t="shared" si="8"/>
        <v>138.2735074115539</v>
      </c>
      <c r="T35" s="274">
        <f>P35/Q35*100</f>
        <v>89.36816255999773</v>
      </c>
      <c r="V35" s="162"/>
    </row>
    <row r="36" spans="2:20" s="129" customFormat="1" ht="21.75" customHeight="1">
      <c r="B36" s="447" t="s">
        <v>160</v>
      </c>
      <c r="C36" s="448"/>
      <c r="D36" s="265">
        <v>11783</v>
      </c>
      <c r="E36" s="265">
        <f t="shared" si="0"/>
        <v>28610</v>
      </c>
      <c r="F36" s="266">
        <v>13423</v>
      </c>
      <c r="G36" s="266">
        <v>15187</v>
      </c>
      <c r="H36" s="267">
        <v>438.79</v>
      </c>
      <c r="I36" s="275">
        <f t="shared" si="1"/>
        <v>65.2020328631008</v>
      </c>
      <c r="J36" s="268">
        <f t="shared" si="5"/>
        <v>88.38480279186146</v>
      </c>
      <c r="K36" s="433" t="s">
        <v>257</v>
      </c>
      <c r="L36" s="433"/>
      <c r="M36" s="433"/>
      <c r="N36" s="433"/>
      <c r="O36" s="433"/>
      <c r="P36" s="433"/>
      <c r="Q36" s="433"/>
      <c r="R36" s="433"/>
      <c r="S36" s="433"/>
      <c r="T36" s="433"/>
    </row>
    <row r="37" spans="2:22" s="129" customFormat="1" ht="21.75" customHeight="1" thickBot="1">
      <c r="B37" s="460" t="s">
        <v>162</v>
      </c>
      <c r="C37" s="461"/>
      <c r="D37" s="276">
        <v>8050</v>
      </c>
      <c r="E37" s="276">
        <f t="shared" si="0"/>
        <v>17638</v>
      </c>
      <c r="F37" s="277">
        <v>8339</v>
      </c>
      <c r="G37" s="277">
        <v>9299</v>
      </c>
      <c r="H37" s="278">
        <v>282.93</v>
      </c>
      <c r="I37" s="279">
        <f t="shared" si="1"/>
        <v>62.34050825292475</v>
      </c>
      <c r="J37" s="280">
        <f t="shared" si="5"/>
        <v>89.6763092805678</v>
      </c>
      <c r="K37" s="480" t="s">
        <v>263</v>
      </c>
      <c r="L37" s="480"/>
      <c r="M37" s="480"/>
      <c r="N37" s="480"/>
      <c r="O37" s="480"/>
      <c r="P37" s="480"/>
      <c r="Q37" s="480"/>
      <c r="R37" s="480"/>
      <c r="S37" s="480"/>
      <c r="T37" s="480"/>
      <c r="V37" s="146"/>
    </row>
    <row r="38" spans="6:20" s="129" customFormat="1" ht="19.5" customHeight="1" thickTop="1">
      <c r="F38" s="138"/>
      <c r="G38" s="138"/>
      <c r="H38" s="281"/>
      <c r="K38" s="480"/>
      <c r="L38" s="480"/>
      <c r="M38" s="480"/>
      <c r="N38" s="480"/>
      <c r="O38" s="480"/>
      <c r="P38" s="480"/>
      <c r="Q38" s="480"/>
      <c r="R38" s="480"/>
      <c r="S38" s="480"/>
      <c r="T38" s="480"/>
    </row>
    <row r="39" spans="5:20" s="129" customFormat="1" ht="19.5" customHeight="1">
      <c r="E39" s="138"/>
      <c r="F39" s="138"/>
      <c r="G39" s="138"/>
      <c r="H39" s="281"/>
      <c r="K39" s="480"/>
      <c r="L39" s="480"/>
      <c r="M39" s="480"/>
      <c r="N39" s="480"/>
      <c r="O39" s="480"/>
      <c r="P39" s="480"/>
      <c r="Q39" s="480"/>
      <c r="R39" s="480"/>
      <c r="S39" s="480"/>
      <c r="T39" s="480"/>
    </row>
    <row r="40" spans="6:20" s="129" customFormat="1" ht="19.5" customHeight="1">
      <c r="F40" s="138"/>
      <c r="G40" s="138"/>
      <c r="H40" s="281"/>
      <c r="K40" s="480"/>
      <c r="L40" s="480"/>
      <c r="M40" s="480"/>
      <c r="N40" s="480"/>
      <c r="O40" s="480"/>
      <c r="P40" s="480"/>
      <c r="Q40" s="480"/>
      <c r="R40" s="480"/>
      <c r="S40" s="480"/>
      <c r="T40" s="480"/>
    </row>
  </sheetData>
  <sheetProtection/>
  <mergeCells count="60">
    <mergeCell ref="N5:N6"/>
    <mergeCell ref="R5:R6"/>
    <mergeCell ref="E5:G5"/>
    <mergeCell ref="K37:T40"/>
    <mergeCell ref="O5:Q5"/>
    <mergeCell ref="B3:J3"/>
    <mergeCell ref="K3:T3"/>
    <mergeCell ref="R4:T4"/>
    <mergeCell ref="B7:C7"/>
    <mergeCell ref="D5:D6"/>
    <mergeCell ref="S5:S6"/>
    <mergeCell ref="T5:T6"/>
    <mergeCell ref="B5:C6"/>
    <mergeCell ref="K7:K8"/>
    <mergeCell ref="L7:M7"/>
    <mergeCell ref="B13:C13"/>
    <mergeCell ref="K11:K13"/>
    <mergeCell ref="I5:I6"/>
    <mergeCell ref="J5:J6"/>
    <mergeCell ref="L10:M10"/>
    <mergeCell ref="H5:H6"/>
    <mergeCell ref="B19:C19"/>
    <mergeCell ref="B24:C24"/>
    <mergeCell ref="B28:C28"/>
    <mergeCell ref="L24:M24"/>
    <mergeCell ref="K9:K10"/>
    <mergeCell ref="K14:K20"/>
    <mergeCell ref="L9:M9"/>
    <mergeCell ref="L11:M11"/>
    <mergeCell ref="L12:M12"/>
    <mergeCell ref="L14:M14"/>
    <mergeCell ref="B32:C32"/>
    <mergeCell ref="B36:C36"/>
    <mergeCell ref="B37:C37"/>
    <mergeCell ref="L16:M16"/>
    <mergeCell ref="L17:M17"/>
    <mergeCell ref="L18:M18"/>
    <mergeCell ref="L19:M19"/>
    <mergeCell ref="L21:M21"/>
    <mergeCell ref="L22:M22"/>
    <mergeCell ref="B35:C35"/>
    <mergeCell ref="K29:K32"/>
    <mergeCell ref="K33:M33"/>
    <mergeCell ref="L15:M15"/>
    <mergeCell ref="L30:M30"/>
    <mergeCell ref="L31:M31"/>
    <mergeCell ref="L32:M32"/>
    <mergeCell ref="L28:M28"/>
    <mergeCell ref="L23:M23"/>
    <mergeCell ref="L29:M29"/>
    <mergeCell ref="S1:U1"/>
    <mergeCell ref="A1:C1"/>
    <mergeCell ref="K36:T36"/>
    <mergeCell ref="K34:M34"/>
    <mergeCell ref="K35:M35"/>
    <mergeCell ref="K5:M6"/>
    <mergeCell ref="L20:M20"/>
    <mergeCell ref="L13:M13"/>
    <mergeCell ref="L8:M8"/>
    <mergeCell ref="K21:K28"/>
  </mergeCells>
  <printOptions/>
  <pageMargins left="0.5905511811023623" right="0.3937007874015748" top="0.984251968503937" bottom="0.7480314960629921" header="0.5118110236220472" footer="0.3937007874015748"/>
  <pageSetup horizontalDpi="300" verticalDpi="300" orientation="portrait" paperSize="9" scale="95"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I76"/>
  <sheetViews>
    <sheetView showGridLines="0" zoomScaleSheetLayoutView="100" zoomScalePageLayoutView="0" workbookViewId="0" topLeftCell="A1">
      <selection activeCell="A1" sqref="A1:C1"/>
    </sheetView>
  </sheetViews>
  <sheetFormatPr defaultColWidth="9.00390625" defaultRowHeight="12.75" customHeight="1"/>
  <cols>
    <col min="1" max="1" width="6.625" style="0" customWidth="1"/>
    <col min="2" max="2" width="14.75390625" style="30" customWidth="1"/>
    <col min="3" max="5" width="10.625" style="30" customWidth="1"/>
    <col min="6" max="6" width="14.75390625" style="30" customWidth="1"/>
    <col min="7" max="9" width="10.625" style="30" customWidth="1"/>
    <col min="10" max="16384" width="9.00390625" style="30" customWidth="1"/>
  </cols>
  <sheetData>
    <row r="1" spans="1:3" ht="12.75" customHeight="1">
      <c r="A1" s="397" t="s">
        <v>321</v>
      </c>
      <c r="B1" s="397"/>
      <c r="C1" s="397"/>
    </row>
    <row r="2" spans="2:3" ht="9.75" customHeight="1">
      <c r="B2" s="6"/>
      <c r="C2" s="6"/>
    </row>
    <row r="3" spans="2:9" ht="16.5" customHeight="1">
      <c r="B3" s="394" t="s">
        <v>246</v>
      </c>
      <c r="C3" s="394"/>
      <c r="D3" s="394"/>
      <c r="E3" s="394"/>
      <c r="F3" s="394"/>
      <c r="G3" s="394"/>
      <c r="H3" s="394"/>
      <c r="I3" s="394"/>
    </row>
    <row r="4" spans="2:9" ht="14.25" thickBot="1">
      <c r="B4" s="484" t="s">
        <v>248</v>
      </c>
      <c r="C4" s="484"/>
      <c r="D4" s="484"/>
      <c r="E4" s="484"/>
      <c r="F4" s="484"/>
      <c r="G4" s="484"/>
      <c r="H4" s="484"/>
      <c r="I4" s="484"/>
    </row>
    <row r="5" spans="2:9" ht="12" customHeight="1" thickTop="1">
      <c r="B5" s="54" t="s">
        <v>39</v>
      </c>
      <c r="C5" s="55" t="s">
        <v>40</v>
      </c>
      <c r="D5" s="55" t="s">
        <v>41</v>
      </c>
      <c r="E5" s="56" t="s">
        <v>42</v>
      </c>
      <c r="F5" s="61" t="s">
        <v>39</v>
      </c>
      <c r="G5" s="55" t="s">
        <v>40</v>
      </c>
      <c r="H5" s="55" t="s">
        <v>41</v>
      </c>
      <c r="I5" s="54" t="s">
        <v>42</v>
      </c>
    </row>
    <row r="6" spans="2:9" s="129" customFormat="1" ht="12" customHeight="1">
      <c r="B6" s="57" t="s">
        <v>74</v>
      </c>
      <c r="C6" s="282">
        <f>C7+C13+C19+C25+C31+C37+C43+C49+C55+C61+C67+G6+G12+G18+G24+G30+G36+G42+G48+G54+G60+G61</f>
        <v>1069576</v>
      </c>
      <c r="D6" s="282">
        <f>D7+D13+D19+D25+D31+D37+D43+D49+D55+D61+D67+H6+H12+H18+H24+H30+H36+H42+H48+H54+H60+H61</f>
        <v>504763</v>
      </c>
      <c r="E6" s="282">
        <f>E7+E13+E19+E25+E31+E37+E43+E49+E55+E61+E67+I6+I12+I18+I24+I30+I36+I42+I48+I54+I60+I61</f>
        <v>564813</v>
      </c>
      <c r="F6" s="58" t="s">
        <v>76</v>
      </c>
      <c r="G6" s="283">
        <f aca="true" t="shared" si="0" ref="G6:G37">SUM(H6:I6)</f>
        <v>65291</v>
      </c>
      <c r="H6" s="283">
        <f>SUM(H7:H11)</f>
        <v>31140</v>
      </c>
      <c r="I6" s="284">
        <f>SUM(I7:I11)</f>
        <v>34151</v>
      </c>
    </row>
    <row r="7" spans="1:9" s="189" customFormat="1" ht="12" customHeight="1">
      <c r="A7" s="129"/>
      <c r="B7" s="59" t="s">
        <v>75</v>
      </c>
      <c r="C7" s="285">
        <f>SUM(D7:E7)</f>
        <v>41185</v>
      </c>
      <c r="D7" s="285">
        <f>SUM(D8:D12)</f>
        <v>20986</v>
      </c>
      <c r="E7" s="286">
        <f>SUM(E8:E12)</f>
        <v>20199</v>
      </c>
      <c r="F7" s="60">
        <v>55</v>
      </c>
      <c r="G7" s="287">
        <f t="shared" si="0"/>
        <v>12890</v>
      </c>
      <c r="H7" s="288">
        <v>6035</v>
      </c>
      <c r="I7" s="289">
        <v>6855</v>
      </c>
    </row>
    <row r="8" spans="1:9" s="189" customFormat="1" ht="12" customHeight="1">
      <c r="A8" s="129"/>
      <c r="B8" s="54">
        <v>0</v>
      </c>
      <c r="C8" s="287">
        <f aca="true" t="shared" si="1" ref="C8:C38">SUM(D8:E8)</f>
        <v>7576</v>
      </c>
      <c r="D8" s="288">
        <v>3837</v>
      </c>
      <c r="E8" s="289">
        <v>3739</v>
      </c>
      <c r="F8" s="61">
        <v>56</v>
      </c>
      <c r="G8" s="287">
        <f t="shared" si="0"/>
        <v>12908</v>
      </c>
      <c r="H8" s="288">
        <v>6216</v>
      </c>
      <c r="I8" s="289">
        <v>6692</v>
      </c>
    </row>
    <row r="9" spans="1:9" s="189" customFormat="1" ht="12" customHeight="1">
      <c r="A9" s="129"/>
      <c r="B9" s="62">
        <v>1</v>
      </c>
      <c r="C9" s="290">
        <f t="shared" si="1"/>
        <v>7924</v>
      </c>
      <c r="D9" s="288">
        <v>4063</v>
      </c>
      <c r="E9" s="289">
        <v>3861</v>
      </c>
      <c r="F9" s="60">
        <v>57</v>
      </c>
      <c r="G9" s="287">
        <f t="shared" si="0"/>
        <v>13187</v>
      </c>
      <c r="H9" s="288">
        <v>6249</v>
      </c>
      <c r="I9" s="289">
        <v>6938</v>
      </c>
    </row>
    <row r="10" spans="1:9" s="189" customFormat="1" ht="12" customHeight="1">
      <c r="A10" s="129"/>
      <c r="B10" s="54">
        <v>2</v>
      </c>
      <c r="C10" s="287">
        <f t="shared" si="1"/>
        <v>8271</v>
      </c>
      <c r="D10" s="288">
        <v>4249</v>
      </c>
      <c r="E10" s="289">
        <v>4022</v>
      </c>
      <c r="F10" s="61">
        <v>58</v>
      </c>
      <c r="G10" s="287">
        <f t="shared" si="0"/>
        <v>12963</v>
      </c>
      <c r="H10" s="288">
        <v>6224</v>
      </c>
      <c r="I10" s="289">
        <v>6739</v>
      </c>
    </row>
    <row r="11" spans="1:9" s="189" customFormat="1" ht="12" customHeight="1">
      <c r="A11" s="129"/>
      <c r="B11" s="62">
        <v>3</v>
      </c>
      <c r="C11" s="290">
        <f t="shared" si="1"/>
        <v>8627</v>
      </c>
      <c r="D11" s="288">
        <v>4399</v>
      </c>
      <c r="E11" s="289">
        <v>4228</v>
      </c>
      <c r="F11" s="60">
        <v>59</v>
      </c>
      <c r="G11" s="287">
        <f t="shared" si="0"/>
        <v>13343</v>
      </c>
      <c r="H11" s="288">
        <v>6416</v>
      </c>
      <c r="I11" s="289">
        <v>6927</v>
      </c>
    </row>
    <row r="12" spans="1:9" s="189" customFormat="1" ht="12" customHeight="1">
      <c r="A12" s="129"/>
      <c r="B12" s="54">
        <v>4</v>
      </c>
      <c r="C12" s="287">
        <f t="shared" si="1"/>
        <v>8787</v>
      </c>
      <c r="D12" s="288">
        <v>4438</v>
      </c>
      <c r="E12" s="289">
        <v>4349</v>
      </c>
      <c r="F12" s="63" t="s">
        <v>104</v>
      </c>
      <c r="G12" s="291">
        <f t="shared" si="0"/>
        <v>73631</v>
      </c>
      <c r="H12" s="291">
        <f>SUM(H13:H17)</f>
        <v>35171</v>
      </c>
      <c r="I12" s="292">
        <f>SUM(I13:I17)</f>
        <v>38460</v>
      </c>
    </row>
    <row r="13" spans="1:9" s="189" customFormat="1" ht="12" customHeight="1">
      <c r="A13" s="129"/>
      <c r="B13" s="59" t="s">
        <v>105</v>
      </c>
      <c r="C13" s="285">
        <f t="shared" si="1"/>
        <v>48053</v>
      </c>
      <c r="D13" s="285">
        <f>SUM(D14:D18)</f>
        <v>24519</v>
      </c>
      <c r="E13" s="286">
        <f>SUM(E14:E18)</f>
        <v>23534</v>
      </c>
      <c r="F13" s="60">
        <v>60</v>
      </c>
      <c r="G13" s="287">
        <f t="shared" si="0"/>
        <v>13992</v>
      </c>
      <c r="H13" s="288">
        <v>6645</v>
      </c>
      <c r="I13" s="289">
        <v>7347</v>
      </c>
    </row>
    <row r="14" spans="1:9" s="189" customFormat="1" ht="12" customHeight="1">
      <c r="A14" s="129"/>
      <c r="B14" s="54">
        <v>5</v>
      </c>
      <c r="C14" s="287">
        <f t="shared" si="1"/>
        <v>9168</v>
      </c>
      <c r="D14" s="288">
        <v>4669</v>
      </c>
      <c r="E14" s="289">
        <v>4499</v>
      </c>
      <c r="F14" s="61">
        <v>61</v>
      </c>
      <c r="G14" s="287">
        <f t="shared" si="0"/>
        <v>14789</v>
      </c>
      <c r="H14" s="288">
        <v>7062</v>
      </c>
      <c r="I14" s="289">
        <v>7727</v>
      </c>
    </row>
    <row r="15" spans="1:9" s="189" customFormat="1" ht="12" customHeight="1">
      <c r="A15" s="129"/>
      <c r="B15" s="62">
        <v>6</v>
      </c>
      <c r="C15" s="290">
        <f t="shared" si="1"/>
        <v>9481</v>
      </c>
      <c r="D15" s="288">
        <v>4906</v>
      </c>
      <c r="E15" s="289">
        <v>4575</v>
      </c>
      <c r="F15" s="60">
        <v>62</v>
      </c>
      <c r="G15" s="287">
        <f t="shared" si="0"/>
        <v>14387</v>
      </c>
      <c r="H15" s="288">
        <v>6877</v>
      </c>
      <c r="I15" s="289">
        <v>7510</v>
      </c>
    </row>
    <row r="16" spans="1:9" s="189" customFormat="1" ht="12" customHeight="1">
      <c r="A16" s="129"/>
      <c r="B16" s="54">
        <v>7</v>
      </c>
      <c r="C16" s="287">
        <f t="shared" si="1"/>
        <v>9654</v>
      </c>
      <c r="D16" s="288">
        <v>4879</v>
      </c>
      <c r="E16" s="289">
        <v>4775</v>
      </c>
      <c r="F16" s="61">
        <v>63</v>
      </c>
      <c r="G16" s="287">
        <f t="shared" si="0"/>
        <v>14798</v>
      </c>
      <c r="H16" s="288">
        <v>7024</v>
      </c>
      <c r="I16" s="289">
        <v>7774</v>
      </c>
    </row>
    <row r="17" spans="1:9" s="189" customFormat="1" ht="12" customHeight="1">
      <c r="A17" s="129"/>
      <c r="B17" s="62">
        <v>8</v>
      </c>
      <c r="C17" s="290">
        <f t="shared" si="1"/>
        <v>9797</v>
      </c>
      <c r="D17" s="288">
        <v>4970</v>
      </c>
      <c r="E17" s="289">
        <v>4827</v>
      </c>
      <c r="F17" s="60">
        <v>64</v>
      </c>
      <c r="G17" s="287">
        <f t="shared" si="0"/>
        <v>15665</v>
      </c>
      <c r="H17" s="288">
        <v>7563</v>
      </c>
      <c r="I17" s="289">
        <v>8102</v>
      </c>
    </row>
    <row r="18" spans="1:9" s="189" customFormat="1" ht="12" customHeight="1">
      <c r="A18" s="129"/>
      <c r="B18" s="54">
        <v>9</v>
      </c>
      <c r="C18" s="287">
        <f t="shared" si="1"/>
        <v>9953</v>
      </c>
      <c r="D18" s="288">
        <v>5095</v>
      </c>
      <c r="E18" s="289">
        <v>4858</v>
      </c>
      <c r="F18" s="63" t="s">
        <v>106</v>
      </c>
      <c r="G18" s="291">
        <f t="shared" si="0"/>
        <v>83262</v>
      </c>
      <c r="H18" s="291">
        <f>SUM(H19:H23)</f>
        <v>40011</v>
      </c>
      <c r="I18" s="292">
        <f>SUM(I19:I23)</f>
        <v>43251</v>
      </c>
    </row>
    <row r="19" spans="1:9" s="189" customFormat="1" ht="12" customHeight="1">
      <c r="A19" s="129"/>
      <c r="B19" s="59" t="s">
        <v>107</v>
      </c>
      <c r="C19" s="285">
        <f t="shared" si="1"/>
        <v>50535</v>
      </c>
      <c r="D19" s="285">
        <f>SUM(D20:D24)</f>
        <v>25890</v>
      </c>
      <c r="E19" s="286">
        <f>SUM(E20:E24)</f>
        <v>24645</v>
      </c>
      <c r="F19" s="60">
        <v>65</v>
      </c>
      <c r="G19" s="287">
        <f t="shared" si="0"/>
        <v>15706</v>
      </c>
      <c r="H19" s="288">
        <v>7518</v>
      </c>
      <c r="I19" s="289">
        <v>8188</v>
      </c>
    </row>
    <row r="20" spans="1:9" s="189" customFormat="1" ht="12" customHeight="1">
      <c r="A20" s="129"/>
      <c r="B20" s="54">
        <v>10</v>
      </c>
      <c r="C20" s="287">
        <f t="shared" si="1"/>
        <v>10223</v>
      </c>
      <c r="D20" s="288">
        <v>5235</v>
      </c>
      <c r="E20" s="289">
        <v>4988</v>
      </c>
      <c r="F20" s="61">
        <v>66</v>
      </c>
      <c r="G20" s="287">
        <f t="shared" si="0"/>
        <v>16014</v>
      </c>
      <c r="H20" s="288">
        <v>7642</v>
      </c>
      <c r="I20" s="289">
        <v>8372</v>
      </c>
    </row>
    <row r="21" spans="1:9" s="189" customFormat="1" ht="12" customHeight="1">
      <c r="A21" s="129"/>
      <c r="B21" s="62">
        <v>11</v>
      </c>
      <c r="C21" s="290">
        <f t="shared" si="1"/>
        <v>10002</v>
      </c>
      <c r="D21" s="288">
        <v>5171</v>
      </c>
      <c r="E21" s="289">
        <v>4831</v>
      </c>
      <c r="F21" s="60">
        <v>67</v>
      </c>
      <c r="G21" s="287">
        <f t="shared" si="0"/>
        <v>16447</v>
      </c>
      <c r="H21" s="288">
        <v>7944</v>
      </c>
      <c r="I21" s="289">
        <v>8503</v>
      </c>
    </row>
    <row r="22" spans="1:9" s="189" customFormat="1" ht="12" customHeight="1">
      <c r="A22" s="129"/>
      <c r="B22" s="54">
        <v>12</v>
      </c>
      <c r="C22" s="287">
        <f t="shared" si="1"/>
        <v>10251</v>
      </c>
      <c r="D22" s="288">
        <v>5185</v>
      </c>
      <c r="E22" s="289">
        <v>5066</v>
      </c>
      <c r="F22" s="61">
        <v>68</v>
      </c>
      <c r="G22" s="287">
        <f t="shared" si="0"/>
        <v>17386</v>
      </c>
      <c r="H22" s="288">
        <v>8508</v>
      </c>
      <c r="I22" s="289">
        <v>8878</v>
      </c>
    </row>
    <row r="23" spans="1:9" s="189" customFormat="1" ht="12" customHeight="1">
      <c r="A23" s="129"/>
      <c r="B23" s="62">
        <v>13</v>
      </c>
      <c r="C23" s="290">
        <f t="shared" si="1"/>
        <v>10187</v>
      </c>
      <c r="D23" s="288">
        <v>5249</v>
      </c>
      <c r="E23" s="289">
        <v>4938</v>
      </c>
      <c r="F23" s="60">
        <v>69</v>
      </c>
      <c r="G23" s="287">
        <f t="shared" si="0"/>
        <v>17709</v>
      </c>
      <c r="H23" s="288">
        <v>8399</v>
      </c>
      <c r="I23" s="289">
        <v>9310</v>
      </c>
    </row>
    <row r="24" spans="1:9" s="189" customFormat="1" ht="12" customHeight="1">
      <c r="A24" s="129"/>
      <c r="B24" s="54">
        <v>14</v>
      </c>
      <c r="C24" s="287">
        <f t="shared" si="1"/>
        <v>9872</v>
      </c>
      <c r="D24" s="288">
        <v>5050</v>
      </c>
      <c r="E24" s="289">
        <v>4822</v>
      </c>
      <c r="F24" s="63" t="s">
        <v>108</v>
      </c>
      <c r="G24" s="291">
        <f t="shared" si="0"/>
        <v>83797</v>
      </c>
      <c r="H24" s="291">
        <f>SUM(H25:H29)</f>
        <v>39184</v>
      </c>
      <c r="I24" s="292">
        <f>SUM(I25:I29)</f>
        <v>44613</v>
      </c>
    </row>
    <row r="25" spans="1:9" s="189" customFormat="1" ht="12" customHeight="1">
      <c r="A25" s="129"/>
      <c r="B25" s="59" t="s">
        <v>109</v>
      </c>
      <c r="C25" s="285">
        <f t="shared" si="1"/>
        <v>47347</v>
      </c>
      <c r="D25" s="285">
        <f>SUM(D26:D30)</f>
        <v>24315</v>
      </c>
      <c r="E25" s="286">
        <f>SUM(E26:E30)</f>
        <v>23032</v>
      </c>
      <c r="F25" s="60">
        <v>70</v>
      </c>
      <c r="G25" s="287">
        <f t="shared" si="0"/>
        <v>18006</v>
      </c>
      <c r="H25" s="288">
        <v>8455</v>
      </c>
      <c r="I25" s="289">
        <v>9551</v>
      </c>
    </row>
    <row r="26" spans="1:9" s="189" customFormat="1" ht="12" customHeight="1">
      <c r="A26" s="129"/>
      <c r="B26" s="54">
        <v>15</v>
      </c>
      <c r="C26" s="287">
        <f t="shared" si="1"/>
        <v>9802</v>
      </c>
      <c r="D26" s="288">
        <v>5025</v>
      </c>
      <c r="E26" s="289">
        <v>4777</v>
      </c>
      <c r="F26" s="61">
        <v>71</v>
      </c>
      <c r="G26" s="287">
        <f t="shared" si="0"/>
        <v>19479</v>
      </c>
      <c r="H26" s="288">
        <v>9042</v>
      </c>
      <c r="I26" s="289">
        <v>10437</v>
      </c>
    </row>
    <row r="27" spans="1:9" s="189" customFormat="1" ht="12" customHeight="1">
      <c r="A27" s="129"/>
      <c r="B27" s="62">
        <v>16</v>
      </c>
      <c r="C27" s="290">
        <f t="shared" si="1"/>
        <v>10490</v>
      </c>
      <c r="D27" s="288">
        <v>5478</v>
      </c>
      <c r="E27" s="289">
        <v>5012</v>
      </c>
      <c r="F27" s="60">
        <v>72</v>
      </c>
      <c r="G27" s="287">
        <f t="shared" si="0"/>
        <v>19359</v>
      </c>
      <c r="H27" s="288">
        <v>9163</v>
      </c>
      <c r="I27" s="289">
        <v>10196</v>
      </c>
    </row>
    <row r="28" spans="1:9" s="189" customFormat="1" ht="12" customHeight="1">
      <c r="A28" s="129"/>
      <c r="B28" s="54">
        <v>17</v>
      </c>
      <c r="C28" s="287">
        <f t="shared" si="1"/>
        <v>10396</v>
      </c>
      <c r="D28" s="288">
        <v>5400</v>
      </c>
      <c r="E28" s="289">
        <v>4996</v>
      </c>
      <c r="F28" s="61">
        <v>73</v>
      </c>
      <c r="G28" s="287">
        <f t="shared" si="0"/>
        <v>16979</v>
      </c>
      <c r="H28" s="288">
        <v>7893</v>
      </c>
      <c r="I28" s="289">
        <v>9086</v>
      </c>
    </row>
    <row r="29" spans="1:9" s="189" customFormat="1" ht="12" customHeight="1">
      <c r="A29" s="129"/>
      <c r="B29" s="62">
        <v>18</v>
      </c>
      <c r="C29" s="290">
        <f t="shared" si="1"/>
        <v>9134</v>
      </c>
      <c r="D29" s="288">
        <v>4661</v>
      </c>
      <c r="E29" s="289">
        <v>4473</v>
      </c>
      <c r="F29" s="60">
        <v>74</v>
      </c>
      <c r="G29" s="287">
        <f t="shared" si="0"/>
        <v>9974</v>
      </c>
      <c r="H29" s="288">
        <v>4631</v>
      </c>
      <c r="I29" s="289">
        <v>5343</v>
      </c>
    </row>
    <row r="30" spans="1:9" s="189" customFormat="1" ht="12" customHeight="1">
      <c r="A30" s="129"/>
      <c r="B30" s="54">
        <v>19</v>
      </c>
      <c r="C30" s="287">
        <f t="shared" si="1"/>
        <v>7525</v>
      </c>
      <c r="D30" s="288">
        <v>3751</v>
      </c>
      <c r="E30" s="289">
        <v>3774</v>
      </c>
      <c r="F30" s="63" t="s">
        <v>110</v>
      </c>
      <c r="G30" s="291">
        <f t="shared" si="0"/>
        <v>59135</v>
      </c>
      <c r="H30" s="291">
        <f>SUM(H31:H35)</f>
        <v>25867</v>
      </c>
      <c r="I30" s="292">
        <f>SUM(I31:I35)</f>
        <v>33268</v>
      </c>
    </row>
    <row r="31" spans="1:9" s="189" customFormat="1" ht="12" customHeight="1">
      <c r="A31" s="129"/>
      <c r="B31" s="59" t="s">
        <v>111</v>
      </c>
      <c r="C31" s="285">
        <f t="shared" si="1"/>
        <v>37831</v>
      </c>
      <c r="D31" s="285">
        <f>SUM(D32:D36)</f>
        <v>18875</v>
      </c>
      <c r="E31" s="286">
        <f>SUM(E32:E36)</f>
        <v>18956</v>
      </c>
      <c r="F31" s="60">
        <v>75</v>
      </c>
      <c r="G31" s="287">
        <f t="shared" si="0"/>
        <v>10613</v>
      </c>
      <c r="H31" s="288">
        <v>4786</v>
      </c>
      <c r="I31" s="289">
        <v>5827</v>
      </c>
    </row>
    <row r="32" spans="1:9" s="189" customFormat="1" ht="12" customHeight="1">
      <c r="A32" s="129"/>
      <c r="B32" s="54">
        <v>20</v>
      </c>
      <c r="C32" s="287">
        <f t="shared" si="1"/>
        <v>7546</v>
      </c>
      <c r="D32" s="288">
        <v>3649</v>
      </c>
      <c r="E32" s="289">
        <v>3897</v>
      </c>
      <c r="F32" s="61">
        <v>76</v>
      </c>
      <c r="G32" s="287">
        <f t="shared" si="0"/>
        <v>12351</v>
      </c>
      <c r="H32" s="288">
        <v>5456</v>
      </c>
      <c r="I32" s="289">
        <v>6895</v>
      </c>
    </row>
    <row r="33" spans="1:9" s="189" customFormat="1" ht="12" customHeight="1">
      <c r="A33" s="129"/>
      <c r="B33" s="62">
        <v>21</v>
      </c>
      <c r="C33" s="290">
        <f t="shared" si="1"/>
        <v>7367</v>
      </c>
      <c r="D33" s="288">
        <v>3688</v>
      </c>
      <c r="E33" s="289">
        <v>3679</v>
      </c>
      <c r="F33" s="60">
        <v>77</v>
      </c>
      <c r="G33" s="287">
        <f t="shared" si="0"/>
        <v>11613</v>
      </c>
      <c r="H33" s="288">
        <v>5145</v>
      </c>
      <c r="I33" s="289">
        <v>6468</v>
      </c>
    </row>
    <row r="34" spans="1:9" s="189" customFormat="1" ht="12" customHeight="1">
      <c r="A34" s="129"/>
      <c r="B34" s="54">
        <v>22</v>
      </c>
      <c r="C34" s="287">
        <f t="shared" si="1"/>
        <v>7567</v>
      </c>
      <c r="D34" s="288">
        <v>3716</v>
      </c>
      <c r="E34" s="289">
        <v>3851</v>
      </c>
      <c r="F34" s="61">
        <v>78</v>
      </c>
      <c r="G34" s="287">
        <f t="shared" si="0"/>
        <v>12204</v>
      </c>
      <c r="H34" s="288">
        <v>5196</v>
      </c>
      <c r="I34" s="289">
        <v>7008</v>
      </c>
    </row>
    <row r="35" spans="1:9" s="189" customFormat="1" ht="12" customHeight="1">
      <c r="A35" s="129"/>
      <c r="B35" s="62">
        <v>23</v>
      </c>
      <c r="C35" s="290">
        <f t="shared" si="1"/>
        <v>7558</v>
      </c>
      <c r="D35" s="288">
        <v>3819</v>
      </c>
      <c r="E35" s="289">
        <v>3739</v>
      </c>
      <c r="F35" s="60">
        <v>79</v>
      </c>
      <c r="G35" s="287">
        <f t="shared" si="0"/>
        <v>12354</v>
      </c>
      <c r="H35" s="288">
        <v>5284</v>
      </c>
      <c r="I35" s="289">
        <v>7070</v>
      </c>
    </row>
    <row r="36" spans="1:9" s="189" customFormat="1" ht="12" customHeight="1">
      <c r="A36" s="129"/>
      <c r="B36" s="54">
        <v>24</v>
      </c>
      <c r="C36" s="287">
        <f t="shared" si="1"/>
        <v>7793</v>
      </c>
      <c r="D36" s="288">
        <v>4003</v>
      </c>
      <c r="E36" s="289">
        <v>3790</v>
      </c>
      <c r="F36" s="63" t="s">
        <v>112</v>
      </c>
      <c r="G36" s="291">
        <f t="shared" si="0"/>
        <v>50866</v>
      </c>
      <c r="H36" s="291">
        <f>SUM(H37:H41)</f>
        <v>20389</v>
      </c>
      <c r="I36" s="292">
        <f>SUM(I37:I41)</f>
        <v>30477</v>
      </c>
    </row>
    <row r="37" spans="1:9" s="189" customFormat="1" ht="12" customHeight="1">
      <c r="A37" s="129"/>
      <c r="B37" s="59" t="s">
        <v>113</v>
      </c>
      <c r="C37" s="285">
        <f t="shared" si="1"/>
        <v>40751</v>
      </c>
      <c r="D37" s="285">
        <f>SUM(D38:D42)</f>
        <v>20499</v>
      </c>
      <c r="E37" s="286">
        <f>SUM(E38:E42)</f>
        <v>20252</v>
      </c>
      <c r="F37" s="60">
        <v>80</v>
      </c>
      <c r="G37" s="287">
        <f t="shared" si="0"/>
        <v>10575</v>
      </c>
      <c r="H37" s="288">
        <v>4387</v>
      </c>
      <c r="I37" s="289">
        <v>6188</v>
      </c>
    </row>
    <row r="38" spans="1:9" s="189" customFormat="1" ht="12" customHeight="1">
      <c r="A38" s="129"/>
      <c r="B38" s="54">
        <v>25</v>
      </c>
      <c r="C38" s="287">
        <f t="shared" si="1"/>
        <v>8021</v>
      </c>
      <c r="D38" s="288">
        <v>4022</v>
      </c>
      <c r="E38" s="289">
        <v>3999</v>
      </c>
      <c r="F38" s="61">
        <v>81</v>
      </c>
      <c r="G38" s="287">
        <f aca="true" t="shared" si="2" ref="G38:G59">SUM(H38:I38)</f>
        <v>9883</v>
      </c>
      <c r="H38" s="288">
        <v>3988</v>
      </c>
      <c r="I38" s="289">
        <v>5895</v>
      </c>
    </row>
    <row r="39" spans="1:9" s="189" customFormat="1" ht="12" customHeight="1">
      <c r="A39" s="129"/>
      <c r="B39" s="62">
        <v>26</v>
      </c>
      <c r="C39" s="290">
        <f aca="true" t="shared" si="3" ref="C39:C70">SUM(D39:E39)</f>
        <v>8110</v>
      </c>
      <c r="D39" s="288">
        <v>4093</v>
      </c>
      <c r="E39" s="289">
        <v>4017</v>
      </c>
      <c r="F39" s="60">
        <v>82</v>
      </c>
      <c r="G39" s="287">
        <f t="shared" si="2"/>
        <v>10077</v>
      </c>
      <c r="H39" s="288">
        <v>4054</v>
      </c>
      <c r="I39" s="289">
        <v>6023</v>
      </c>
    </row>
    <row r="40" spans="1:9" s="189" customFormat="1" ht="12" customHeight="1">
      <c r="A40" s="129"/>
      <c r="B40" s="54">
        <v>27</v>
      </c>
      <c r="C40" s="287">
        <f t="shared" si="3"/>
        <v>8033</v>
      </c>
      <c r="D40" s="288">
        <v>4027</v>
      </c>
      <c r="E40" s="289">
        <v>4006</v>
      </c>
      <c r="F40" s="61">
        <v>83</v>
      </c>
      <c r="G40" s="287">
        <f t="shared" si="2"/>
        <v>10730</v>
      </c>
      <c r="H40" s="288">
        <v>4237</v>
      </c>
      <c r="I40" s="289">
        <v>6493</v>
      </c>
    </row>
    <row r="41" spans="1:9" s="189" customFormat="1" ht="12" customHeight="1">
      <c r="A41" s="129"/>
      <c r="B41" s="62">
        <v>28</v>
      </c>
      <c r="C41" s="290">
        <f t="shared" si="3"/>
        <v>8358</v>
      </c>
      <c r="D41" s="288">
        <v>4235</v>
      </c>
      <c r="E41" s="289">
        <v>4123</v>
      </c>
      <c r="F41" s="60">
        <v>84</v>
      </c>
      <c r="G41" s="287">
        <f t="shared" si="2"/>
        <v>9601</v>
      </c>
      <c r="H41" s="288">
        <v>3723</v>
      </c>
      <c r="I41" s="289">
        <v>5878</v>
      </c>
    </row>
    <row r="42" spans="1:9" s="189" customFormat="1" ht="12" customHeight="1">
      <c r="A42" s="129"/>
      <c r="B42" s="54">
        <v>29</v>
      </c>
      <c r="C42" s="287">
        <f t="shared" si="3"/>
        <v>8229</v>
      </c>
      <c r="D42" s="288">
        <v>4122</v>
      </c>
      <c r="E42" s="289">
        <v>4107</v>
      </c>
      <c r="F42" s="63" t="s">
        <v>114</v>
      </c>
      <c r="G42" s="291">
        <f t="shared" si="2"/>
        <v>39905</v>
      </c>
      <c r="H42" s="291">
        <f>SUM(H43:H47)</f>
        <v>14010</v>
      </c>
      <c r="I42" s="292">
        <f>SUM(I43:I47)</f>
        <v>25895</v>
      </c>
    </row>
    <row r="43" spans="1:9" s="189" customFormat="1" ht="12" customHeight="1">
      <c r="A43" s="129"/>
      <c r="B43" s="59" t="s">
        <v>115</v>
      </c>
      <c r="C43" s="285">
        <f t="shared" si="3"/>
        <v>48204</v>
      </c>
      <c r="D43" s="285">
        <f>SUM(D44:D48)</f>
        <v>23489</v>
      </c>
      <c r="E43" s="286">
        <f>SUM(E44:E48)</f>
        <v>24715</v>
      </c>
      <c r="F43" s="60">
        <v>85</v>
      </c>
      <c r="G43" s="287">
        <f t="shared" si="2"/>
        <v>9560</v>
      </c>
      <c r="H43" s="288">
        <v>3563</v>
      </c>
      <c r="I43" s="289">
        <v>5997</v>
      </c>
    </row>
    <row r="44" spans="1:9" s="189" customFormat="1" ht="12" customHeight="1">
      <c r="A44" s="129"/>
      <c r="B44" s="54">
        <v>30</v>
      </c>
      <c r="C44" s="287">
        <f t="shared" si="3"/>
        <v>8886</v>
      </c>
      <c r="D44" s="288">
        <v>4311</v>
      </c>
      <c r="E44" s="289">
        <v>4575</v>
      </c>
      <c r="F44" s="61">
        <v>86</v>
      </c>
      <c r="G44" s="287">
        <f t="shared" si="2"/>
        <v>8431</v>
      </c>
      <c r="H44" s="288">
        <v>3079</v>
      </c>
      <c r="I44" s="289">
        <v>5352</v>
      </c>
    </row>
    <row r="45" spans="1:9" s="189" customFormat="1" ht="12" customHeight="1">
      <c r="A45" s="129"/>
      <c r="B45" s="62">
        <v>31</v>
      </c>
      <c r="C45" s="290">
        <f t="shared" si="3"/>
        <v>9111</v>
      </c>
      <c r="D45" s="288">
        <v>4481</v>
      </c>
      <c r="E45" s="289">
        <v>4630</v>
      </c>
      <c r="F45" s="60">
        <v>87</v>
      </c>
      <c r="G45" s="287">
        <f t="shared" si="2"/>
        <v>8291</v>
      </c>
      <c r="H45" s="288">
        <v>2840</v>
      </c>
      <c r="I45" s="289">
        <v>5451</v>
      </c>
    </row>
    <row r="46" spans="1:9" s="189" customFormat="1" ht="12" customHeight="1">
      <c r="A46" s="129"/>
      <c r="B46" s="54">
        <v>32</v>
      </c>
      <c r="C46" s="287">
        <f t="shared" si="3"/>
        <v>9557</v>
      </c>
      <c r="D46" s="288">
        <v>4643</v>
      </c>
      <c r="E46" s="289">
        <v>4914</v>
      </c>
      <c r="F46" s="61">
        <v>88</v>
      </c>
      <c r="G46" s="287">
        <f t="shared" si="2"/>
        <v>7192</v>
      </c>
      <c r="H46" s="288">
        <v>2439</v>
      </c>
      <c r="I46" s="289">
        <v>4753</v>
      </c>
    </row>
    <row r="47" spans="1:9" s="189" customFormat="1" ht="12" customHeight="1">
      <c r="A47" s="129"/>
      <c r="B47" s="62">
        <v>33</v>
      </c>
      <c r="C47" s="290">
        <f t="shared" si="3"/>
        <v>10196</v>
      </c>
      <c r="D47" s="288">
        <v>4938</v>
      </c>
      <c r="E47" s="289">
        <v>5258</v>
      </c>
      <c r="F47" s="60">
        <v>89</v>
      </c>
      <c r="G47" s="287">
        <f t="shared" si="2"/>
        <v>6431</v>
      </c>
      <c r="H47" s="288">
        <v>2089</v>
      </c>
      <c r="I47" s="289">
        <v>4342</v>
      </c>
    </row>
    <row r="48" spans="1:9" s="189" customFormat="1" ht="12" customHeight="1">
      <c r="A48" s="129"/>
      <c r="B48" s="54">
        <v>34</v>
      </c>
      <c r="C48" s="287">
        <f t="shared" si="3"/>
        <v>10454</v>
      </c>
      <c r="D48" s="288">
        <v>5116</v>
      </c>
      <c r="E48" s="289">
        <v>5338</v>
      </c>
      <c r="F48" s="63" t="s">
        <v>116</v>
      </c>
      <c r="G48" s="291">
        <f t="shared" si="2"/>
        <v>20653</v>
      </c>
      <c r="H48" s="291">
        <f>SUM(H49:H53)</f>
        <v>5545</v>
      </c>
      <c r="I48" s="292">
        <f>SUM(I49:I53)</f>
        <v>15108</v>
      </c>
    </row>
    <row r="49" spans="1:9" s="189" customFormat="1" ht="12" customHeight="1">
      <c r="A49" s="129"/>
      <c r="B49" s="59" t="s">
        <v>117</v>
      </c>
      <c r="C49" s="285">
        <f t="shared" si="3"/>
        <v>58119</v>
      </c>
      <c r="D49" s="285">
        <f>SUM(D50:D54)</f>
        <v>28207</v>
      </c>
      <c r="E49" s="286">
        <f>SUM(E50:E54)</f>
        <v>29912</v>
      </c>
      <c r="F49" s="60">
        <v>90</v>
      </c>
      <c r="G49" s="287">
        <f t="shared" si="2"/>
        <v>5596</v>
      </c>
      <c r="H49" s="288">
        <v>1689</v>
      </c>
      <c r="I49" s="289">
        <v>3907</v>
      </c>
    </row>
    <row r="50" spans="1:9" s="189" customFormat="1" ht="12" customHeight="1">
      <c r="A50" s="129"/>
      <c r="B50" s="54">
        <v>35</v>
      </c>
      <c r="C50" s="287">
        <f t="shared" si="3"/>
        <v>11086</v>
      </c>
      <c r="D50" s="288">
        <v>5421</v>
      </c>
      <c r="E50" s="289">
        <v>5665</v>
      </c>
      <c r="F50" s="61">
        <v>91</v>
      </c>
      <c r="G50" s="287">
        <f t="shared" si="2"/>
        <v>4970</v>
      </c>
      <c r="H50" s="288">
        <v>1416</v>
      </c>
      <c r="I50" s="289">
        <v>3554</v>
      </c>
    </row>
    <row r="51" spans="1:9" s="189" customFormat="1" ht="12" customHeight="1">
      <c r="A51" s="129"/>
      <c r="B51" s="62">
        <v>36</v>
      </c>
      <c r="C51" s="290">
        <f t="shared" si="3"/>
        <v>11341</v>
      </c>
      <c r="D51" s="288">
        <v>5479</v>
      </c>
      <c r="E51" s="289">
        <v>5862</v>
      </c>
      <c r="F51" s="60">
        <v>92</v>
      </c>
      <c r="G51" s="287">
        <f t="shared" si="2"/>
        <v>4067</v>
      </c>
      <c r="H51" s="288">
        <v>1033</v>
      </c>
      <c r="I51" s="289">
        <v>3034</v>
      </c>
    </row>
    <row r="52" spans="1:9" s="189" customFormat="1" ht="12" customHeight="1">
      <c r="A52" s="129"/>
      <c r="B52" s="54">
        <v>37</v>
      </c>
      <c r="C52" s="287">
        <f t="shared" si="3"/>
        <v>11721</v>
      </c>
      <c r="D52" s="288">
        <v>5648</v>
      </c>
      <c r="E52" s="289">
        <v>6073</v>
      </c>
      <c r="F52" s="61">
        <v>93</v>
      </c>
      <c r="G52" s="287">
        <f t="shared" si="2"/>
        <v>3319</v>
      </c>
      <c r="H52" s="288">
        <v>832</v>
      </c>
      <c r="I52" s="289">
        <v>2487</v>
      </c>
    </row>
    <row r="53" spans="1:9" s="189" customFormat="1" ht="12" customHeight="1">
      <c r="A53" s="129"/>
      <c r="B53" s="62">
        <v>38</v>
      </c>
      <c r="C53" s="290">
        <f t="shared" si="3"/>
        <v>12057</v>
      </c>
      <c r="D53" s="288">
        <v>5843</v>
      </c>
      <c r="E53" s="289">
        <v>6214</v>
      </c>
      <c r="F53" s="60">
        <v>94</v>
      </c>
      <c r="G53" s="287">
        <f t="shared" si="2"/>
        <v>2701</v>
      </c>
      <c r="H53" s="288">
        <v>575</v>
      </c>
      <c r="I53" s="289">
        <v>2126</v>
      </c>
    </row>
    <row r="54" spans="1:9" s="189" customFormat="1" ht="12" customHeight="1">
      <c r="A54" s="129"/>
      <c r="B54" s="54">
        <v>39</v>
      </c>
      <c r="C54" s="287">
        <f t="shared" si="3"/>
        <v>11914</v>
      </c>
      <c r="D54" s="288">
        <v>5816</v>
      </c>
      <c r="E54" s="289">
        <v>6098</v>
      </c>
      <c r="F54" s="63" t="s">
        <v>118</v>
      </c>
      <c r="G54" s="291">
        <f t="shared" si="2"/>
        <v>5885</v>
      </c>
      <c r="H54" s="291">
        <f>SUM(H55:H59)</f>
        <v>1011</v>
      </c>
      <c r="I54" s="292">
        <f>SUM(I55:I59)</f>
        <v>4874</v>
      </c>
    </row>
    <row r="55" spans="1:9" s="189" customFormat="1" ht="12" customHeight="1">
      <c r="A55" s="129"/>
      <c r="B55" s="59" t="s">
        <v>119</v>
      </c>
      <c r="C55" s="285">
        <f t="shared" si="3"/>
        <v>65901</v>
      </c>
      <c r="D55" s="285">
        <f>SUM(D56:D60)</f>
        <v>32503</v>
      </c>
      <c r="E55" s="286">
        <f>SUM(E56:E60)</f>
        <v>33398</v>
      </c>
      <c r="F55" s="60">
        <v>95</v>
      </c>
      <c r="G55" s="287">
        <f t="shared" si="2"/>
        <v>2032</v>
      </c>
      <c r="H55" s="288">
        <v>417</v>
      </c>
      <c r="I55" s="289">
        <v>1615</v>
      </c>
    </row>
    <row r="56" spans="1:9" s="189" customFormat="1" ht="12" customHeight="1">
      <c r="A56" s="129"/>
      <c r="B56" s="54">
        <v>40</v>
      </c>
      <c r="C56" s="287">
        <f t="shared" si="3"/>
        <v>12539</v>
      </c>
      <c r="D56" s="288">
        <v>6222</v>
      </c>
      <c r="E56" s="289">
        <v>6317</v>
      </c>
      <c r="F56" s="61">
        <v>96</v>
      </c>
      <c r="G56" s="287">
        <f t="shared" si="2"/>
        <v>1412</v>
      </c>
      <c r="H56" s="288">
        <v>262</v>
      </c>
      <c r="I56" s="289">
        <v>1150</v>
      </c>
    </row>
    <row r="57" spans="1:9" s="189" customFormat="1" ht="12" customHeight="1">
      <c r="A57" s="129"/>
      <c r="B57" s="62">
        <v>41</v>
      </c>
      <c r="C57" s="290">
        <f t="shared" si="3"/>
        <v>12842</v>
      </c>
      <c r="D57" s="288">
        <v>6288</v>
      </c>
      <c r="E57" s="289">
        <v>6554</v>
      </c>
      <c r="F57" s="60">
        <v>97</v>
      </c>
      <c r="G57" s="287">
        <f t="shared" si="2"/>
        <v>1057</v>
      </c>
      <c r="H57" s="288">
        <v>150</v>
      </c>
      <c r="I57" s="289">
        <v>907</v>
      </c>
    </row>
    <row r="58" spans="1:9" s="189" customFormat="1" ht="12" customHeight="1">
      <c r="A58" s="129"/>
      <c r="B58" s="54">
        <v>42</v>
      </c>
      <c r="C58" s="287">
        <f t="shared" si="3"/>
        <v>12944</v>
      </c>
      <c r="D58" s="288">
        <v>6401</v>
      </c>
      <c r="E58" s="289">
        <v>6543</v>
      </c>
      <c r="F58" s="61">
        <v>98</v>
      </c>
      <c r="G58" s="287">
        <f t="shared" si="2"/>
        <v>828</v>
      </c>
      <c r="H58" s="288">
        <v>108</v>
      </c>
      <c r="I58" s="289">
        <v>720</v>
      </c>
    </row>
    <row r="59" spans="1:9" s="189" customFormat="1" ht="12" customHeight="1">
      <c r="A59" s="129"/>
      <c r="B59" s="62">
        <v>43</v>
      </c>
      <c r="C59" s="290">
        <f t="shared" si="3"/>
        <v>13593</v>
      </c>
      <c r="D59" s="288">
        <v>6717</v>
      </c>
      <c r="E59" s="289">
        <v>6876</v>
      </c>
      <c r="F59" s="60">
        <v>99</v>
      </c>
      <c r="G59" s="287">
        <f t="shared" si="2"/>
        <v>556</v>
      </c>
      <c r="H59" s="288">
        <v>74</v>
      </c>
      <c r="I59" s="289">
        <v>482</v>
      </c>
    </row>
    <row r="60" spans="1:9" s="189" customFormat="1" ht="12" customHeight="1">
      <c r="A60" s="129"/>
      <c r="B60" s="54">
        <v>44</v>
      </c>
      <c r="C60" s="287">
        <f t="shared" si="3"/>
        <v>13983</v>
      </c>
      <c r="D60" s="288">
        <v>6875</v>
      </c>
      <c r="E60" s="289">
        <v>7108</v>
      </c>
      <c r="F60" s="63" t="s">
        <v>77</v>
      </c>
      <c r="G60" s="291">
        <f>H60+I60</f>
        <v>1040</v>
      </c>
      <c r="H60" s="291">
        <v>123</v>
      </c>
      <c r="I60" s="293">
        <v>917</v>
      </c>
    </row>
    <row r="61" spans="2:9" s="129" customFormat="1" ht="12" customHeight="1">
      <c r="B61" s="64" t="s">
        <v>120</v>
      </c>
      <c r="C61" s="291">
        <f t="shared" si="3"/>
        <v>69907</v>
      </c>
      <c r="D61" s="294">
        <f>SUM(D62:D66)</f>
        <v>34158</v>
      </c>
      <c r="E61" s="295">
        <f>SUM(E62:E66)</f>
        <v>35749</v>
      </c>
      <c r="F61" s="41" t="s">
        <v>237</v>
      </c>
      <c r="G61" s="296">
        <f>H61+I61</f>
        <v>17005</v>
      </c>
      <c r="H61" s="296">
        <v>9564</v>
      </c>
      <c r="I61" s="297">
        <v>7441</v>
      </c>
    </row>
    <row r="62" spans="2:9" s="129" customFormat="1" ht="12" customHeight="1">
      <c r="B62" s="37">
        <v>45</v>
      </c>
      <c r="C62" s="287">
        <f t="shared" si="3"/>
        <v>14174</v>
      </c>
      <c r="D62" s="288">
        <v>6885</v>
      </c>
      <c r="E62" s="289">
        <v>7289</v>
      </c>
      <c r="F62" s="65" t="s">
        <v>238</v>
      </c>
      <c r="G62" s="66"/>
      <c r="H62" s="67"/>
      <c r="I62" s="68"/>
    </row>
    <row r="63" spans="2:9" s="129" customFormat="1" ht="12" customHeight="1">
      <c r="B63" s="40">
        <v>46</v>
      </c>
      <c r="C63" s="298">
        <f t="shared" si="3"/>
        <v>14611</v>
      </c>
      <c r="D63" s="288">
        <v>7167</v>
      </c>
      <c r="E63" s="289">
        <v>7444</v>
      </c>
      <c r="F63" s="41" t="s">
        <v>78</v>
      </c>
      <c r="G63" s="290">
        <f>H63+I63</f>
        <v>139773</v>
      </c>
      <c r="H63" s="299">
        <v>71395</v>
      </c>
      <c r="I63" s="300">
        <v>68378</v>
      </c>
    </row>
    <row r="64" spans="2:9" s="129" customFormat="1" ht="12" customHeight="1">
      <c r="B64" s="37">
        <v>47</v>
      </c>
      <c r="C64" s="287">
        <f t="shared" si="3"/>
        <v>14427</v>
      </c>
      <c r="D64" s="288">
        <v>7168</v>
      </c>
      <c r="E64" s="289">
        <v>7259</v>
      </c>
      <c r="F64" s="41" t="s">
        <v>79</v>
      </c>
      <c r="G64" s="290">
        <f>H64+I64</f>
        <v>568255</v>
      </c>
      <c r="H64" s="301">
        <v>277664</v>
      </c>
      <c r="I64" s="302">
        <v>290591</v>
      </c>
    </row>
    <row r="65" spans="2:9" s="129" customFormat="1" ht="12" customHeight="1">
      <c r="B65" s="40">
        <v>48</v>
      </c>
      <c r="C65" s="298">
        <f t="shared" si="3"/>
        <v>13680</v>
      </c>
      <c r="D65" s="288">
        <v>6661</v>
      </c>
      <c r="E65" s="289">
        <v>7019</v>
      </c>
      <c r="F65" s="41" t="s">
        <v>80</v>
      </c>
      <c r="G65" s="290">
        <f>H65+I65</f>
        <v>344543</v>
      </c>
      <c r="H65" s="299">
        <v>146140</v>
      </c>
      <c r="I65" s="300">
        <v>198403</v>
      </c>
    </row>
    <row r="66" spans="2:9" s="129" customFormat="1" ht="12" customHeight="1">
      <c r="B66" s="37">
        <v>49</v>
      </c>
      <c r="C66" s="287">
        <f t="shared" si="3"/>
        <v>13015</v>
      </c>
      <c r="D66" s="288">
        <v>6277</v>
      </c>
      <c r="E66" s="289">
        <v>6738</v>
      </c>
      <c r="F66" s="41" t="s">
        <v>81</v>
      </c>
      <c r="G66" s="290">
        <f>H66+I66</f>
        <v>177484</v>
      </c>
      <c r="H66" s="301">
        <v>66945</v>
      </c>
      <c r="I66" s="302">
        <v>110539</v>
      </c>
    </row>
    <row r="67" spans="2:9" s="129" customFormat="1" ht="12" customHeight="1">
      <c r="B67" s="36" t="s">
        <v>121</v>
      </c>
      <c r="C67" s="291">
        <f t="shared" si="3"/>
        <v>61273</v>
      </c>
      <c r="D67" s="285">
        <f>SUM(D68:D72)</f>
        <v>29307</v>
      </c>
      <c r="E67" s="303">
        <f>SUM(E68:E72)</f>
        <v>31966</v>
      </c>
      <c r="F67" s="41" t="s">
        <v>86</v>
      </c>
      <c r="G67" s="290">
        <v>67483</v>
      </c>
      <c r="H67" s="299">
        <v>20689</v>
      </c>
      <c r="I67" s="300">
        <v>46794</v>
      </c>
    </row>
    <row r="68" spans="2:9" s="129" customFormat="1" ht="12" customHeight="1">
      <c r="B68" s="37">
        <v>50</v>
      </c>
      <c r="C68" s="287">
        <f t="shared" si="3"/>
        <v>12823</v>
      </c>
      <c r="D68" s="288">
        <v>6276</v>
      </c>
      <c r="E68" s="289">
        <v>6547</v>
      </c>
      <c r="F68" s="42" t="s">
        <v>82</v>
      </c>
      <c r="G68" s="38"/>
      <c r="H68" s="4"/>
      <c r="I68" s="39"/>
    </row>
    <row r="69" spans="2:9" s="129" customFormat="1" ht="12" customHeight="1">
      <c r="B69" s="40">
        <v>51</v>
      </c>
      <c r="C69" s="298">
        <f t="shared" si="3"/>
        <v>12678</v>
      </c>
      <c r="D69" s="288">
        <v>6075</v>
      </c>
      <c r="E69" s="289">
        <v>6603</v>
      </c>
      <c r="F69" s="41" t="s">
        <v>78</v>
      </c>
      <c r="G69" s="307">
        <f>G63/1052571*100</f>
        <v>13.279199217914991</v>
      </c>
      <c r="H69" s="308">
        <f>H63/495199*100</f>
        <v>14.417436222609497</v>
      </c>
      <c r="I69" s="309">
        <f>I63/557372*100</f>
        <v>12.267928780060714</v>
      </c>
    </row>
    <row r="70" spans="2:9" s="129" customFormat="1" ht="12" customHeight="1">
      <c r="B70" s="37">
        <v>52</v>
      </c>
      <c r="C70" s="287">
        <f t="shared" si="3"/>
        <v>12741</v>
      </c>
      <c r="D70" s="288">
        <v>5980</v>
      </c>
      <c r="E70" s="289">
        <v>6761</v>
      </c>
      <c r="F70" s="41" t="s">
        <v>79</v>
      </c>
      <c r="G70" s="307">
        <f>G64/1052571*100</f>
        <v>53.98733197095493</v>
      </c>
      <c r="H70" s="308">
        <f>H64/495199*100</f>
        <v>56.07119562034657</v>
      </c>
      <c r="I70" s="309">
        <f>I64/557372*100</f>
        <v>52.135916407713346</v>
      </c>
    </row>
    <row r="71" spans="2:9" s="129" customFormat="1" ht="12" customHeight="1">
      <c r="B71" s="40">
        <v>53</v>
      </c>
      <c r="C71" s="298">
        <f>SUM(D71:E71)</f>
        <v>12961</v>
      </c>
      <c r="D71" s="288">
        <v>6211</v>
      </c>
      <c r="E71" s="289">
        <v>6750</v>
      </c>
      <c r="F71" s="41" t="s">
        <v>80</v>
      </c>
      <c r="G71" s="307">
        <f>G65/1052571*100</f>
        <v>32.73346881113008</v>
      </c>
      <c r="H71" s="308">
        <f>H65/495199*100</f>
        <v>29.51136815704394</v>
      </c>
      <c r="I71" s="309">
        <f>I65/557372*100</f>
        <v>35.59615481222595</v>
      </c>
    </row>
    <row r="72" spans="2:9" s="129" customFormat="1" ht="12" customHeight="1">
      <c r="B72" s="37">
        <v>54</v>
      </c>
      <c r="C72" s="287">
        <f>SUM(D72:E72)</f>
        <v>10070</v>
      </c>
      <c r="D72" s="288">
        <v>4765</v>
      </c>
      <c r="E72" s="289">
        <v>5305</v>
      </c>
      <c r="F72" s="41" t="s">
        <v>81</v>
      </c>
      <c r="G72" s="307">
        <f>G66/1052571*100</f>
        <v>16.86195040524582</v>
      </c>
      <c r="H72" s="308">
        <f>H66/495199*100</f>
        <v>13.518807590483824</v>
      </c>
      <c r="I72" s="309">
        <f>I66/557372*100</f>
        <v>19.832176715012594</v>
      </c>
    </row>
    <row r="73" spans="2:9" s="129" customFormat="1" ht="12" customHeight="1">
      <c r="B73" s="4"/>
      <c r="C73" s="38"/>
      <c r="D73" s="38"/>
      <c r="E73" s="43"/>
      <c r="F73" s="41" t="s">
        <v>86</v>
      </c>
      <c r="G73" s="307">
        <f>G67/1052571*100</f>
        <v>6.411253967665839</v>
      </c>
      <c r="H73" s="308">
        <f>H67/495199*100</f>
        <v>4.177916352819776</v>
      </c>
      <c r="I73" s="309">
        <f>I67/557372*100</f>
        <v>8.395470170729782</v>
      </c>
    </row>
    <row r="74" spans="2:9" s="129" customFormat="1" ht="12" customHeight="1">
      <c r="B74" s="4"/>
      <c r="C74" s="38"/>
      <c r="D74" s="38"/>
      <c r="E74" s="43"/>
      <c r="F74" s="42" t="s">
        <v>236</v>
      </c>
      <c r="G74" s="307">
        <v>46.1</v>
      </c>
      <c r="H74" s="308">
        <v>44.1</v>
      </c>
      <c r="I74" s="309">
        <v>47.9</v>
      </c>
    </row>
    <row r="75" spans="2:9" s="129" customFormat="1" ht="12" customHeight="1" thickBot="1">
      <c r="B75" s="304"/>
      <c r="C75" s="305"/>
      <c r="D75" s="305"/>
      <c r="E75" s="306"/>
      <c r="F75" s="45" t="s">
        <v>83</v>
      </c>
      <c r="G75" s="310">
        <v>47.3</v>
      </c>
      <c r="H75" s="311">
        <v>45.3</v>
      </c>
      <c r="I75" s="312">
        <v>49.2</v>
      </c>
    </row>
    <row r="76" s="129" customFormat="1" ht="12.75" customHeight="1">
      <c r="B76" s="129" t="s">
        <v>264</v>
      </c>
    </row>
  </sheetData>
  <sheetProtection/>
  <mergeCells count="3">
    <mergeCell ref="B4:I4"/>
    <mergeCell ref="B3:I3"/>
    <mergeCell ref="A1:C1"/>
  </mergeCells>
  <printOptions/>
  <pageMargins left="0.3937007874015748" right="0.3937007874015748" top="0.7874015748031497" bottom="0.3937007874015748" header="0.5118110236220472" footer="0.5118110236220472"/>
  <pageSetup horizontalDpi="300" verticalDpi="300" orientation="portrait" paperSize="9" scale="89" r:id="rId1"/>
</worksheet>
</file>

<file path=xl/worksheets/sheet7.xml><?xml version="1.0" encoding="utf-8"?>
<worksheet xmlns="http://schemas.openxmlformats.org/spreadsheetml/2006/main" xmlns:r="http://schemas.openxmlformats.org/officeDocument/2006/relationships">
  <dimension ref="A1:O40"/>
  <sheetViews>
    <sheetView showGridLines="0" zoomScaleSheetLayoutView="100" zoomScalePageLayoutView="0" workbookViewId="0" topLeftCell="A1">
      <selection activeCell="L1" sqref="L1:N1"/>
    </sheetView>
  </sheetViews>
  <sheetFormatPr defaultColWidth="9.00390625" defaultRowHeight="13.5"/>
  <cols>
    <col min="1" max="1" width="9.00390625" style="70" customWidth="1"/>
    <col min="2" max="2" width="8.375" style="70" customWidth="1"/>
    <col min="3" max="3" width="4.375" style="70" customWidth="1"/>
    <col min="4" max="4" width="8.375" style="70" customWidth="1"/>
    <col min="5" max="5" width="4.375" style="70" customWidth="1"/>
    <col min="6" max="6" width="8.375" style="70" customWidth="1"/>
    <col min="7" max="7" width="4.375" style="70" customWidth="1"/>
    <col min="8" max="8" width="8.375" style="70" customWidth="1"/>
    <col min="9" max="9" width="4.375" style="70" customWidth="1"/>
    <col min="10" max="10" width="8.375" style="70" customWidth="1"/>
    <col min="11" max="11" width="4.375" style="70" customWidth="1"/>
    <col min="12" max="12" width="8.375" style="70" customWidth="1"/>
    <col min="13" max="13" width="4.375" style="70" customWidth="1"/>
    <col min="14" max="14" width="6.625" style="0" customWidth="1"/>
    <col min="15" max="16384" width="9.00390625" style="70" customWidth="1"/>
  </cols>
  <sheetData>
    <row r="1" spans="1:14" s="30" customFormat="1" ht="13.5">
      <c r="A1" s="397"/>
      <c r="B1" s="397"/>
      <c r="I1" s="5"/>
      <c r="L1" s="388" t="s">
        <v>322</v>
      </c>
      <c r="M1" s="388"/>
      <c r="N1" s="388"/>
    </row>
    <row r="2" spans="1:14" s="30" customFormat="1" ht="13.5">
      <c r="A2" s="6"/>
      <c r="B2" s="6"/>
      <c r="I2" s="5"/>
      <c r="M2" s="5"/>
      <c r="N2"/>
    </row>
    <row r="3" spans="1:13" s="129" customFormat="1" ht="17.25">
      <c r="A3" s="394" t="s">
        <v>265</v>
      </c>
      <c r="B3" s="396"/>
      <c r="C3" s="396"/>
      <c r="D3" s="396"/>
      <c r="E3" s="396"/>
      <c r="F3" s="396"/>
      <c r="G3" s="396"/>
      <c r="H3" s="396"/>
      <c r="I3" s="399"/>
      <c r="J3" s="399"/>
      <c r="K3" s="399"/>
      <c r="L3" s="399"/>
      <c r="M3" s="399"/>
    </row>
    <row r="4" spans="1:15" s="129" customFormat="1" ht="14.25" customHeight="1" thickBot="1">
      <c r="A4" s="313"/>
      <c r="B4" s="313"/>
      <c r="C4" s="313"/>
      <c r="D4" s="313"/>
      <c r="E4" s="313"/>
      <c r="M4" s="46"/>
      <c r="O4" s="46"/>
    </row>
    <row r="5" spans="1:14" s="4" customFormat="1" ht="19.5" customHeight="1" thickTop="1">
      <c r="A5" s="47"/>
      <c r="B5" s="485" t="s">
        <v>250</v>
      </c>
      <c r="C5" s="48"/>
      <c r="D5" s="488" t="s">
        <v>70</v>
      </c>
      <c r="E5" s="48"/>
      <c r="F5" s="488" t="s">
        <v>71</v>
      </c>
      <c r="G5" s="48"/>
      <c r="H5" s="488" t="s">
        <v>84</v>
      </c>
      <c r="I5" s="48"/>
      <c r="J5" s="488" t="s">
        <v>72</v>
      </c>
      <c r="K5" s="48"/>
      <c r="L5" s="488" t="s">
        <v>73</v>
      </c>
      <c r="M5" s="155"/>
      <c r="N5" s="129"/>
    </row>
    <row r="6" spans="1:14" s="4" customFormat="1" ht="13.5">
      <c r="A6" s="43"/>
      <c r="B6" s="486"/>
      <c r="C6" s="492" t="s">
        <v>69</v>
      </c>
      <c r="D6" s="489"/>
      <c r="E6" s="492" t="s">
        <v>69</v>
      </c>
      <c r="F6" s="489"/>
      <c r="G6" s="492" t="s">
        <v>69</v>
      </c>
      <c r="H6" s="489"/>
      <c r="I6" s="492" t="s">
        <v>69</v>
      </c>
      <c r="J6" s="489"/>
      <c r="K6" s="492" t="s">
        <v>69</v>
      </c>
      <c r="L6" s="489"/>
      <c r="M6" s="491" t="s">
        <v>69</v>
      </c>
      <c r="N6" s="129"/>
    </row>
    <row r="7" spans="1:14" s="4" customFormat="1" ht="13.5">
      <c r="A7" s="43"/>
      <c r="B7" s="486"/>
      <c r="C7" s="493"/>
      <c r="D7" s="489"/>
      <c r="E7" s="493"/>
      <c r="F7" s="489"/>
      <c r="G7" s="493"/>
      <c r="H7" s="489"/>
      <c r="I7" s="493"/>
      <c r="J7" s="489"/>
      <c r="K7" s="493"/>
      <c r="L7" s="489"/>
      <c r="M7" s="489"/>
      <c r="N7" s="129"/>
    </row>
    <row r="8" spans="1:14" s="4" customFormat="1" ht="13.5">
      <c r="A8" s="49"/>
      <c r="B8" s="487"/>
      <c r="C8" s="494"/>
      <c r="D8" s="490"/>
      <c r="E8" s="494"/>
      <c r="F8" s="490"/>
      <c r="G8" s="494"/>
      <c r="H8" s="490"/>
      <c r="I8" s="494"/>
      <c r="J8" s="490"/>
      <c r="K8" s="494"/>
      <c r="L8" s="490"/>
      <c r="M8" s="490"/>
      <c r="N8" s="129"/>
    </row>
    <row r="9" spans="1:13" s="129" customFormat="1" ht="19.5" customHeight="1">
      <c r="A9" s="314" t="s">
        <v>68</v>
      </c>
      <c r="B9" s="315">
        <v>-3.1</v>
      </c>
      <c r="C9" s="316"/>
      <c r="D9" s="317">
        <v>89.4</v>
      </c>
      <c r="E9" s="316"/>
      <c r="F9" s="317">
        <v>13.1</v>
      </c>
      <c r="G9" s="316"/>
      <c r="H9" s="317">
        <v>54.3</v>
      </c>
      <c r="I9" s="316"/>
      <c r="J9" s="317">
        <v>32.6</v>
      </c>
      <c r="K9" s="316"/>
      <c r="L9" s="318">
        <f>1030106/468575</f>
        <v>2.198380195272902</v>
      </c>
      <c r="M9" s="319"/>
    </row>
    <row r="10" spans="1:13" s="129" customFormat="1" ht="19.5" customHeight="1">
      <c r="A10" s="314"/>
      <c r="B10" s="320"/>
      <c r="C10" s="321"/>
      <c r="D10" s="322"/>
      <c r="E10" s="321"/>
      <c r="F10" s="322"/>
      <c r="G10" s="321"/>
      <c r="H10" s="322"/>
      <c r="I10" s="321"/>
      <c r="J10" s="322"/>
      <c r="K10" s="321"/>
      <c r="L10" s="323"/>
      <c r="M10" s="189"/>
    </row>
    <row r="11" spans="1:13" s="129" customFormat="1" ht="19.5" customHeight="1">
      <c r="A11" s="324"/>
      <c r="B11" s="325"/>
      <c r="C11" s="321"/>
      <c r="D11" s="326"/>
      <c r="E11" s="321"/>
      <c r="F11" s="326"/>
      <c r="G11" s="321"/>
      <c r="H11" s="326"/>
      <c r="I11" s="321"/>
      <c r="J11" s="326"/>
      <c r="K11" s="321"/>
      <c r="L11" s="326"/>
      <c r="M11" s="189"/>
    </row>
    <row r="12" spans="1:13" s="129" customFormat="1" ht="19.5" customHeight="1">
      <c r="A12" s="52" t="s">
        <v>43</v>
      </c>
      <c r="B12" s="325">
        <v>0.138</v>
      </c>
      <c r="C12" s="326">
        <f>RANK(B12,$B$12:$B$37,0)</f>
        <v>2</v>
      </c>
      <c r="D12" s="327">
        <v>89.3</v>
      </c>
      <c r="E12" s="328">
        <f>RANK(D12,$D$12:$D$37,0)</f>
        <v>16</v>
      </c>
      <c r="F12" s="329">
        <v>13.5</v>
      </c>
      <c r="G12" s="328">
        <f>RANK(F12,$F$12:$F$37,0)</f>
        <v>7</v>
      </c>
      <c r="H12" s="329">
        <v>58.2</v>
      </c>
      <c r="I12" s="330">
        <f>RANK(H12,$H$12:$H$37,0)</f>
        <v>1</v>
      </c>
      <c r="J12" s="329">
        <v>28.3</v>
      </c>
      <c r="K12" s="331">
        <f>RANK(J12,$J$12:$J$37,0)</f>
        <v>26</v>
      </c>
      <c r="L12" s="332">
        <f>389477/183782</f>
        <v>2.11923365726785</v>
      </c>
      <c r="M12" s="333">
        <f>RANK(L12,$L$12:$L$37,0)</f>
        <v>25</v>
      </c>
    </row>
    <row r="13" spans="1:13" s="129" customFormat="1" ht="19.5" customHeight="1">
      <c r="A13" s="52" t="s">
        <v>44</v>
      </c>
      <c r="B13" s="325">
        <v>-2.696</v>
      </c>
      <c r="C13" s="326">
        <f aca="true" t="shared" si="0" ref="C13:C37">RANK(B13,$B$12:$B$37,0)</f>
        <v>3</v>
      </c>
      <c r="D13" s="327">
        <v>88.3</v>
      </c>
      <c r="E13" s="328">
        <f aca="true" t="shared" si="1" ref="E13:E37">RANK(D13,$D$12:$D$37,0)</f>
        <v>21</v>
      </c>
      <c r="F13" s="329">
        <v>13.8</v>
      </c>
      <c r="G13" s="328">
        <f aca="true" t="shared" si="2" ref="G13:G37">RANK(F13,$F$12:$F$37,0)</f>
        <v>4</v>
      </c>
      <c r="H13" s="329">
        <v>54.4</v>
      </c>
      <c r="I13" s="330">
        <f aca="true" t="shared" si="3" ref="I13:I37">RANK(H13,$H$12:$H$37,0)</f>
        <v>3</v>
      </c>
      <c r="J13" s="329">
        <v>31.7</v>
      </c>
      <c r="K13" s="331">
        <f aca="true" t="shared" si="4" ref="K13:K37">RANK(J13,$J$12:$J$37,0)</f>
        <v>23</v>
      </c>
      <c r="L13" s="332">
        <f>154660/70860</f>
        <v>2.1826136042901494</v>
      </c>
      <c r="M13" s="333">
        <f aca="true" t="shared" si="5" ref="M13:M37">RANK(L13,$L$12:$L$37,0)</f>
        <v>21</v>
      </c>
    </row>
    <row r="14" spans="1:13" s="129" customFormat="1" ht="19.5" customHeight="1">
      <c r="A14" s="52" t="s">
        <v>45</v>
      </c>
      <c r="B14" s="325">
        <v>-5.4</v>
      </c>
      <c r="C14" s="326">
        <f t="shared" si="0"/>
        <v>9</v>
      </c>
      <c r="D14" s="327">
        <v>90.1</v>
      </c>
      <c r="E14" s="328">
        <f t="shared" si="1"/>
        <v>13</v>
      </c>
      <c r="F14" s="329">
        <v>12.3</v>
      </c>
      <c r="G14" s="328">
        <f t="shared" si="2"/>
        <v>15</v>
      </c>
      <c r="H14" s="329">
        <v>53</v>
      </c>
      <c r="I14" s="330">
        <f t="shared" si="3"/>
        <v>7</v>
      </c>
      <c r="J14" s="329">
        <v>34.7</v>
      </c>
      <c r="K14" s="331">
        <f t="shared" si="4"/>
        <v>19</v>
      </c>
      <c r="L14" s="332">
        <f>113892/51424</f>
        <v>2.214763534536403</v>
      </c>
      <c r="M14" s="333">
        <f t="shared" si="5"/>
        <v>18</v>
      </c>
    </row>
    <row r="15" spans="1:13" s="129" customFormat="1" ht="19.5" customHeight="1">
      <c r="A15" s="52" t="s">
        <v>46</v>
      </c>
      <c r="B15" s="325">
        <v>-6</v>
      </c>
      <c r="C15" s="326">
        <f t="shared" si="0"/>
        <v>13</v>
      </c>
      <c r="D15" s="327">
        <v>88.9</v>
      </c>
      <c r="E15" s="328">
        <f t="shared" si="1"/>
        <v>18</v>
      </c>
      <c r="F15" s="329">
        <v>11.8</v>
      </c>
      <c r="G15" s="328">
        <f t="shared" si="2"/>
        <v>17</v>
      </c>
      <c r="H15" s="329">
        <v>49.7</v>
      </c>
      <c r="I15" s="330">
        <f t="shared" si="3"/>
        <v>13</v>
      </c>
      <c r="J15" s="329">
        <v>38.6</v>
      </c>
      <c r="K15" s="331">
        <f t="shared" si="4"/>
        <v>12</v>
      </c>
      <c r="L15" s="332">
        <f>48155/21960</f>
        <v>2.1928506375227688</v>
      </c>
      <c r="M15" s="333">
        <f t="shared" si="5"/>
        <v>19</v>
      </c>
    </row>
    <row r="16" spans="1:13" s="129" customFormat="1" ht="19.5" customHeight="1">
      <c r="A16" s="52" t="s">
        <v>47</v>
      </c>
      <c r="B16" s="325">
        <v>-5.5</v>
      </c>
      <c r="C16" s="326">
        <f t="shared" si="0"/>
        <v>10</v>
      </c>
      <c r="D16" s="327">
        <v>87.1</v>
      </c>
      <c r="E16" s="328">
        <f t="shared" si="1"/>
        <v>25</v>
      </c>
      <c r="F16" s="329">
        <v>12.4</v>
      </c>
      <c r="G16" s="328">
        <f t="shared" si="2"/>
        <v>14</v>
      </c>
      <c r="H16" s="329">
        <v>50.4</v>
      </c>
      <c r="I16" s="330">
        <f t="shared" si="3"/>
        <v>11</v>
      </c>
      <c r="J16" s="329">
        <v>37.2</v>
      </c>
      <c r="K16" s="331">
        <f t="shared" si="4"/>
        <v>15</v>
      </c>
      <c r="L16" s="332">
        <f>41579/19074</f>
        <v>2.179878368459683</v>
      </c>
      <c r="M16" s="333">
        <f t="shared" si="5"/>
        <v>22</v>
      </c>
    </row>
    <row r="17" spans="1:13" s="129" customFormat="1" ht="19.5" customHeight="1">
      <c r="A17" s="52" t="s">
        <v>48</v>
      </c>
      <c r="B17" s="325">
        <v>-3.5</v>
      </c>
      <c r="C17" s="326">
        <f t="shared" si="0"/>
        <v>4</v>
      </c>
      <c r="D17" s="327">
        <v>90.8</v>
      </c>
      <c r="E17" s="328">
        <f t="shared" si="1"/>
        <v>12</v>
      </c>
      <c r="F17" s="329">
        <v>13.5</v>
      </c>
      <c r="G17" s="328">
        <f t="shared" si="2"/>
        <v>7</v>
      </c>
      <c r="H17" s="329">
        <v>53.7</v>
      </c>
      <c r="I17" s="330">
        <f t="shared" si="3"/>
        <v>6</v>
      </c>
      <c r="J17" s="329">
        <v>32.7</v>
      </c>
      <c r="K17" s="331">
        <f t="shared" si="4"/>
        <v>21</v>
      </c>
      <c r="L17" s="332">
        <f>57377/25009</f>
        <v>2.294254068535327</v>
      </c>
      <c r="M17" s="333">
        <f t="shared" si="5"/>
        <v>14</v>
      </c>
    </row>
    <row r="18" spans="1:13" s="129" customFormat="1" ht="19.5" customHeight="1">
      <c r="A18" s="52" t="s">
        <v>49</v>
      </c>
      <c r="B18" s="325">
        <v>-10.4</v>
      </c>
      <c r="C18" s="326">
        <f t="shared" si="0"/>
        <v>22</v>
      </c>
      <c r="D18" s="327">
        <v>88</v>
      </c>
      <c r="E18" s="328">
        <f t="shared" si="1"/>
        <v>22</v>
      </c>
      <c r="F18" s="329">
        <v>11.5</v>
      </c>
      <c r="G18" s="328">
        <f t="shared" si="2"/>
        <v>18</v>
      </c>
      <c r="H18" s="329">
        <v>45.3</v>
      </c>
      <c r="I18" s="330">
        <f t="shared" si="3"/>
        <v>20</v>
      </c>
      <c r="J18" s="329">
        <v>43.1</v>
      </c>
      <c r="K18" s="331">
        <f t="shared" si="4"/>
        <v>6</v>
      </c>
      <c r="L18" s="332">
        <f>15713/7196</f>
        <v>2.183574207893274</v>
      </c>
      <c r="M18" s="333">
        <f t="shared" si="5"/>
        <v>20</v>
      </c>
    </row>
    <row r="19" spans="1:13" s="129" customFormat="1" ht="19.5" customHeight="1">
      <c r="A19" s="52" t="s">
        <v>50</v>
      </c>
      <c r="B19" s="325">
        <v>-6.8</v>
      </c>
      <c r="C19" s="326">
        <f t="shared" si="0"/>
        <v>16</v>
      </c>
      <c r="D19" s="327">
        <v>88.4</v>
      </c>
      <c r="E19" s="328">
        <f t="shared" si="1"/>
        <v>20</v>
      </c>
      <c r="F19" s="329">
        <v>11.5</v>
      </c>
      <c r="G19" s="328">
        <f t="shared" si="2"/>
        <v>18</v>
      </c>
      <c r="H19" s="329">
        <v>50.2</v>
      </c>
      <c r="I19" s="330">
        <f t="shared" si="3"/>
        <v>12</v>
      </c>
      <c r="J19" s="329">
        <v>38.3</v>
      </c>
      <c r="K19" s="331">
        <f t="shared" si="4"/>
        <v>13</v>
      </c>
      <c r="L19" s="332">
        <f>27320/11744</f>
        <v>2.326294277929155</v>
      </c>
      <c r="M19" s="333">
        <f t="shared" si="5"/>
        <v>12</v>
      </c>
    </row>
    <row r="20" spans="1:13" s="129" customFormat="1" ht="19.5" customHeight="1">
      <c r="A20" s="53" t="s">
        <v>51</v>
      </c>
      <c r="B20" s="334">
        <v>-9.7</v>
      </c>
      <c r="C20" s="326">
        <f t="shared" si="0"/>
        <v>21</v>
      </c>
      <c r="D20" s="327">
        <v>89.7</v>
      </c>
      <c r="E20" s="328">
        <f t="shared" si="1"/>
        <v>14</v>
      </c>
      <c r="F20" s="329">
        <v>10.9</v>
      </c>
      <c r="G20" s="328">
        <f t="shared" si="2"/>
        <v>22</v>
      </c>
      <c r="H20" s="329">
        <v>46.6</v>
      </c>
      <c r="I20" s="330">
        <f t="shared" si="3"/>
        <v>18</v>
      </c>
      <c r="J20" s="329">
        <v>42.5</v>
      </c>
      <c r="K20" s="331">
        <f t="shared" si="4"/>
        <v>9</v>
      </c>
      <c r="L20" s="332">
        <f>17177/8027</f>
        <v>2.1399028279556496</v>
      </c>
      <c r="M20" s="333">
        <f t="shared" si="5"/>
        <v>24</v>
      </c>
    </row>
    <row r="21" spans="1:13" s="129" customFormat="1" ht="19.5" customHeight="1">
      <c r="A21" s="69" t="s">
        <v>52</v>
      </c>
      <c r="B21" s="335">
        <v>0.7</v>
      </c>
      <c r="C21" s="336">
        <f t="shared" si="0"/>
        <v>1</v>
      </c>
      <c r="D21" s="337">
        <v>87.4</v>
      </c>
      <c r="E21" s="336">
        <f t="shared" si="1"/>
        <v>24</v>
      </c>
      <c r="F21" s="338">
        <v>17.2</v>
      </c>
      <c r="G21" s="336">
        <f t="shared" si="2"/>
        <v>1</v>
      </c>
      <c r="H21" s="338">
        <v>54.4</v>
      </c>
      <c r="I21" s="339">
        <f t="shared" si="3"/>
        <v>3</v>
      </c>
      <c r="J21" s="338">
        <v>28.4</v>
      </c>
      <c r="K21" s="340">
        <f t="shared" si="4"/>
        <v>25</v>
      </c>
      <c r="L21" s="341">
        <f>24628/10178</f>
        <v>2.419728826881509</v>
      </c>
      <c r="M21" s="342">
        <f>RANK(L21,$L$12:$L$37,0)</f>
        <v>7</v>
      </c>
    </row>
    <row r="22" spans="1:13" s="129" customFormat="1" ht="19.5" customHeight="1">
      <c r="A22" s="163" t="s">
        <v>53</v>
      </c>
      <c r="B22" s="343">
        <v>-7.1</v>
      </c>
      <c r="C22" s="344">
        <f t="shared" si="0"/>
        <v>17</v>
      </c>
      <c r="D22" s="345">
        <v>91.5</v>
      </c>
      <c r="E22" s="346">
        <f t="shared" si="1"/>
        <v>9</v>
      </c>
      <c r="F22" s="347">
        <v>10.8</v>
      </c>
      <c r="G22" s="346">
        <f t="shared" si="2"/>
        <v>23</v>
      </c>
      <c r="H22" s="347">
        <v>47.1</v>
      </c>
      <c r="I22" s="348">
        <f t="shared" si="3"/>
        <v>17</v>
      </c>
      <c r="J22" s="347">
        <v>42.1</v>
      </c>
      <c r="K22" s="349">
        <f t="shared" si="4"/>
        <v>10</v>
      </c>
      <c r="L22" s="350">
        <f>8321/3750</f>
        <v>2.218933333333333</v>
      </c>
      <c r="M22" s="351">
        <f t="shared" si="5"/>
        <v>16</v>
      </c>
    </row>
    <row r="23" spans="1:13" s="129" customFormat="1" ht="19.5" customHeight="1">
      <c r="A23" s="52" t="s">
        <v>54</v>
      </c>
      <c r="B23" s="325">
        <v>-6.231</v>
      </c>
      <c r="C23" s="326">
        <f t="shared" si="0"/>
        <v>14</v>
      </c>
      <c r="D23" s="327">
        <v>87.9</v>
      </c>
      <c r="E23" s="328">
        <f t="shared" si="1"/>
        <v>23</v>
      </c>
      <c r="F23" s="329">
        <v>11.5</v>
      </c>
      <c r="G23" s="328">
        <f t="shared" si="2"/>
        <v>18</v>
      </c>
      <c r="H23" s="329">
        <v>51.2</v>
      </c>
      <c r="I23" s="330">
        <f t="shared" si="3"/>
        <v>10</v>
      </c>
      <c r="J23" s="329">
        <v>37.3</v>
      </c>
      <c r="K23" s="331">
        <f t="shared" si="4"/>
        <v>14</v>
      </c>
      <c r="L23" s="332">
        <f>17424/7450</f>
        <v>2.338791946308725</v>
      </c>
      <c r="M23" s="333">
        <f t="shared" si="5"/>
        <v>11</v>
      </c>
    </row>
    <row r="24" spans="1:13" s="129" customFormat="1" ht="19.5" customHeight="1">
      <c r="A24" s="52" t="s">
        <v>55</v>
      </c>
      <c r="B24" s="325">
        <v>-5.6</v>
      </c>
      <c r="C24" s="326">
        <f t="shared" si="0"/>
        <v>11</v>
      </c>
      <c r="D24" s="327">
        <v>89.1</v>
      </c>
      <c r="E24" s="328">
        <f t="shared" si="1"/>
        <v>17</v>
      </c>
      <c r="F24" s="329">
        <v>14</v>
      </c>
      <c r="G24" s="328">
        <f t="shared" si="2"/>
        <v>3</v>
      </c>
      <c r="H24" s="329">
        <v>49.1</v>
      </c>
      <c r="I24" s="330">
        <f t="shared" si="3"/>
        <v>14</v>
      </c>
      <c r="J24" s="329">
        <v>36.8</v>
      </c>
      <c r="K24" s="331">
        <f t="shared" si="4"/>
        <v>17</v>
      </c>
      <c r="L24" s="332">
        <f>6768/2851</f>
        <v>2.373903893370747</v>
      </c>
      <c r="M24" s="333">
        <f t="shared" si="5"/>
        <v>9</v>
      </c>
    </row>
    <row r="25" spans="1:13" s="129" customFormat="1" ht="19.5" customHeight="1">
      <c r="A25" s="52" t="s">
        <v>56</v>
      </c>
      <c r="B25" s="325">
        <v>-5.2</v>
      </c>
      <c r="C25" s="326">
        <f t="shared" si="0"/>
        <v>8</v>
      </c>
      <c r="D25" s="327">
        <v>91.1</v>
      </c>
      <c r="E25" s="328">
        <f t="shared" si="1"/>
        <v>10</v>
      </c>
      <c r="F25" s="329">
        <v>13.1</v>
      </c>
      <c r="G25" s="328">
        <f t="shared" si="2"/>
        <v>10</v>
      </c>
      <c r="H25" s="329">
        <v>54.2</v>
      </c>
      <c r="I25" s="330">
        <f t="shared" si="3"/>
        <v>5</v>
      </c>
      <c r="J25" s="329">
        <v>32.7</v>
      </c>
      <c r="K25" s="331">
        <f t="shared" si="4"/>
        <v>21</v>
      </c>
      <c r="L25" s="332">
        <f>19190/8653</f>
        <v>2.2177279556223275</v>
      </c>
      <c r="M25" s="333">
        <f t="shared" si="5"/>
        <v>17</v>
      </c>
    </row>
    <row r="26" spans="1:13" s="129" customFormat="1" ht="19.5" customHeight="1">
      <c r="A26" s="52" t="s">
        <v>57</v>
      </c>
      <c r="B26" s="325">
        <v>-4.7</v>
      </c>
      <c r="C26" s="326">
        <f t="shared" si="0"/>
        <v>6</v>
      </c>
      <c r="D26" s="327">
        <v>95.6</v>
      </c>
      <c r="E26" s="328">
        <f t="shared" si="1"/>
        <v>3</v>
      </c>
      <c r="F26" s="329">
        <v>13.4</v>
      </c>
      <c r="G26" s="328">
        <f t="shared" si="2"/>
        <v>9</v>
      </c>
      <c r="H26" s="329">
        <v>54.9</v>
      </c>
      <c r="I26" s="330">
        <f t="shared" si="3"/>
        <v>2</v>
      </c>
      <c r="J26" s="329">
        <v>31.7</v>
      </c>
      <c r="K26" s="331">
        <f t="shared" si="4"/>
        <v>23</v>
      </c>
      <c r="L26" s="332">
        <f>15668/6396</f>
        <v>2.4496560350218886</v>
      </c>
      <c r="M26" s="333">
        <f t="shared" si="5"/>
        <v>5</v>
      </c>
    </row>
    <row r="27" spans="1:13" s="129" customFormat="1" ht="19.5" customHeight="1">
      <c r="A27" s="52" t="s">
        <v>58</v>
      </c>
      <c r="B27" s="325">
        <v>-8.2</v>
      </c>
      <c r="C27" s="326">
        <f t="shared" si="0"/>
        <v>19</v>
      </c>
      <c r="D27" s="327">
        <v>96.9</v>
      </c>
      <c r="E27" s="328">
        <f t="shared" si="1"/>
        <v>2</v>
      </c>
      <c r="F27" s="329">
        <v>13.6</v>
      </c>
      <c r="G27" s="328">
        <f t="shared" si="2"/>
        <v>5</v>
      </c>
      <c r="H27" s="329">
        <v>42.7</v>
      </c>
      <c r="I27" s="330">
        <f t="shared" si="3"/>
        <v>24</v>
      </c>
      <c r="J27" s="329">
        <v>43.7</v>
      </c>
      <c r="K27" s="331">
        <f t="shared" si="4"/>
        <v>5</v>
      </c>
      <c r="L27" s="332">
        <f>970/501</f>
        <v>1.9361277445109781</v>
      </c>
      <c r="M27" s="333">
        <f t="shared" si="5"/>
        <v>26</v>
      </c>
    </row>
    <row r="28" spans="1:13" s="129" customFormat="1" ht="19.5" customHeight="1">
      <c r="A28" s="52" t="s">
        <v>59</v>
      </c>
      <c r="B28" s="325">
        <v>-6.4</v>
      </c>
      <c r="C28" s="326">
        <f t="shared" si="0"/>
        <v>15</v>
      </c>
      <c r="D28" s="327">
        <v>85.1</v>
      </c>
      <c r="E28" s="328">
        <f t="shared" si="1"/>
        <v>26</v>
      </c>
      <c r="F28" s="329">
        <v>15.5</v>
      </c>
      <c r="G28" s="328">
        <f t="shared" si="2"/>
        <v>2</v>
      </c>
      <c r="H28" s="329">
        <v>47.2</v>
      </c>
      <c r="I28" s="330">
        <f t="shared" si="3"/>
        <v>16</v>
      </c>
      <c r="J28" s="329">
        <v>37.2</v>
      </c>
      <c r="K28" s="331">
        <f t="shared" si="4"/>
        <v>15</v>
      </c>
      <c r="L28" s="332">
        <f>4644/1874</f>
        <v>2.47812166488794</v>
      </c>
      <c r="M28" s="333">
        <f t="shared" si="5"/>
        <v>2</v>
      </c>
    </row>
    <row r="29" spans="1:13" s="129" customFormat="1" ht="19.5" customHeight="1">
      <c r="A29" s="52" t="s">
        <v>60</v>
      </c>
      <c r="B29" s="325">
        <v>-5.7</v>
      </c>
      <c r="C29" s="326">
        <f t="shared" si="0"/>
        <v>12</v>
      </c>
      <c r="D29" s="327">
        <v>88.8</v>
      </c>
      <c r="E29" s="328">
        <f t="shared" si="1"/>
        <v>19</v>
      </c>
      <c r="F29" s="329">
        <v>12.8</v>
      </c>
      <c r="G29" s="328">
        <f t="shared" si="2"/>
        <v>12</v>
      </c>
      <c r="H29" s="329">
        <v>51.4</v>
      </c>
      <c r="I29" s="330">
        <f t="shared" si="3"/>
        <v>9</v>
      </c>
      <c r="J29" s="329">
        <v>35.7</v>
      </c>
      <c r="K29" s="331">
        <f t="shared" si="4"/>
        <v>18</v>
      </c>
      <c r="L29" s="332">
        <f>14484/6010</f>
        <v>2.4099833610648917</v>
      </c>
      <c r="M29" s="333">
        <f t="shared" si="5"/>
        <v>8</v>
      </c>
    </row>
    <row r="30" spans="1:13" s="129" customFormat="1" ht="19.5" customHeight="1">
      <c r="A30" s="52" t="s">
        <v>61</v>
      </c>
      <c r="B30" s="325">
        <v>-4.7</v>
      </c>
      <c r="C30" s="326">
        <f t="shared" si="0"/>
        <v>6</v>
      </c>
      <c r="D30" s="327">
        <v>89.4</v>
      </c>
      <c r="E30" s="328">
        <f t="shared" si="1"/>
        <v>15</v>
      </c>
      <c r="F30" s="329">
        <v>12.6</v>
      </c>
      <c r="G30" s="328">
        <f t="shared" si="2"/>
        <v>13</v>
      </c>
      <c r="H30" s="329">
        <v>48.6</v>
      </c>
      <c r="I30" s="330">
        <f t="shared" si="3"/>
        <v>15</v>
      </c>
      <c r="J30" s="329">
        <v>38.8</v>
      </c>
      <c r="K30" s="331">
        <f t="shared" si="4"/>
        <v>11</v>
      </c>
      <c r="L30" s="332">
        <f>9721/3952</f>
        <v>2.459767206477733</v>
      </c>
      <c r="M30" s="333">
        <f t="shared" si="5"/>
        <v>3</v>
      </c>
    </row>
    <row r="31" spans="1:13" s="129" customFormat="1" ht="19.5" customHeight="1">
      <c r="A31" s="52" t="s">
        <v>62</v>
      </c>
      <c r="B31" s="325">
        <v>-4.4</v>
      </c>
      <c r="C31" s="326">
        <f t="shared" si="0"/>
        <v>5</v>
      </c>
      <c r="D31" s="327">
        <v>90.9</v>
      </c>
      <c r="E31" s="328">
        <f t="shared" si="1"/>
        <v>11</v>
      </c>
      <c r="F31" s="329">
        <v>13.6</v>
      </c>
      <c r="G31" s="328">
        <f t="shared" si="2"/>
        <v>5</v>
      </c>
      <c r="H31" s="329">
        <v>52.1</v>
      </c>
      <c r="I31" s="330">
        <f t="shared" si="3"/>
        <v>8</v>
      </c>
      <c r="J31" s="329">
        <v>34.3</v>
      </c>
      <c r="K31" s="331">
        <f t="shared" si="4"/>
        <v>20</v>
      </c>
      <c r="L31" s="332">
        <f>16733/6849</f>
        <v>2.443130383997664</v>
      </c>
      <c r="M31" s="333">
        <f t="shared" si="5"/>
        <v>6</v>
      </c>
    </row>
    <row r="32" spans="1:13" s="129" customFormat="1" ht="19.5" customHeight="1">
      <c r="A32" s="52" t="s">
        <v>63</v>
      </c>
      <c r="B32" s="325">
        <v>-14.5</v>
      </c>
      <c r="C32" s="326">
        <f t="shared" si="0"/>
        <v>26</v>
      </c>
      <c r="D32" s="327">
        <v>95.3</v>
      </c>
      <c r="E32" s="328">
        <f t="shared" si="1"/>
        <v>5</v>
      </c>
      <c r="F32" s="329">
        <v>10.1</v>
      </c>
      <c r="G32" s="328">
        <f t="shared" si="2"/>
        <v>25</v>
      </c>
      <c r="H32" s="329">
        <v>44.2</v>
      </c>
      <c r="I32" s="330">
        <f t="shared" si="3"/>
        <v>21</v>
      </c>
      <c r="J32" s="329">
        <v>45.7</v>
      </c>
      <c r="K32" s="331">
        <f t="shared" si="4"/>
        <v>2</v>
      </c>
      <c r="L32" s="332">
        <f>1446/627</f>
        <v>2.3062200956937797</v>
      </c>
      <c r="M32" s="333">
        <f t="shared" si="5"/>
        <v>13</v>
      </c>
    </row>
    <row r="33" spans="1:13" s="129" customFormat="1" ht="19.5" customHeight="1">
      <c r="A33" s="52" t="s">
        <v>64</v>
      </c>
      <c r="B33" s="325">
        <v>-10.9</v>
      </c>
      <c r="C33" s="326">
        <f t="shared" si="0"/>
        <v>24</v>
      </c>
      <c r="D33" s="327">
        <v>102.7</v>
      </c>
      <c r="E33" s="328">
        <f t="shared" si="1"/>
        <v>1</v>
      </c>
      <c r="F33" s="329">
        <v>11.9</v>
      </c>
      <c r="G33" s="328">
        <f t="shared" si="2"/>
        <v>16</v>
      </c>
      <c r="H33" s="329">
        <v>42.5</v>
      </c>
      <c r="I33" s="330">
        <f t="shared" si="3"/>
        <v>25</v>
      </c>
      <c r="J33" s="329">
        <v>45.6</v>
      </c>
      <c r="K33" s="331">
        <f t="shared" si="4"/>
        <v>3</v>
      </c>
      <c r="L33" s="332">
        <f>2395/1054</f>
        <v>2.272296015180266</v>
      </c>
      <c r="M33" s="333">
        <f t="shared" si="5"/>
        <v>15</v>
      </c>
    </row>
    <row r="34" spans="1:13" s="129" customFormat="1" ht="19.5" customHeight="1">
      <c r="A34" s="52" t="s">
        <v>123</v>
      </c>
      <c r="B34" s="325">
        <v>-11.9</v>
      </c>
      <c r="C34" s="326">
        <f t="shared" si="0"/>
        <v>25</v>
      </c>
      <c r="D34" s="327">
        <v>93.9</v>
      </c>
      <c r="E34" s="328">
        <f t="shared" si="1"/>
        <v>6</v>
      </c>
      <c r="F34" s="329">
        <v>8.7</v>
      </c>
      <c r="G34" s="328">
        <f t="shared" si="2"/>
        <v>26</v>
      </c>
      <c r="H34" s="329">
        <v>39.7</v>
      </c>
      <c r="I34" s="330">
        <f t="shared" si="3"/>
        <v>26</v>
      </c>
      <c r="J34" s="329">
        <v>51.6</v>
      </c>
      <c r="K34" s="331">
        <f t="shared" si="4"/>
        <v>1</v>
      </c>
      <c r="L34" s="332">
        <f>4592/2130</f>
        <v>2.155868544600939</v>
      </c>
      <c r="M34" s="333">
        <f t="shared" si="5"/>
        <v>23</v>
      </c>
    </row>
    <row r="35" spans="1:13" s="129" customFormat="1" ht="19.5" customHeight="1">
      <c r="A35" s="52" t="s">
        <v>65</v>
      </c>
      <c r="B35" s="325">
        <v>-8.7</v>
      </c>
      <c r="C35" s="326">
        <f t="shared" si="0"/>
        <v>20</v>
      </c>
      <c r="D35" s="327">
        <v>92.8</v>
      </c>
      <c r="E35" s="328">
        <f t="shared" si="1"/>
        <v>7</v>
      </c>
      <c r="F35" s="329">
        <v>11.4</v>
      </c>
      <c r="G35" s="328">
        <f t="shared" si="2"/>
        <v>21</v>
      </c>
      <c r="H35" s="329">
        <v>45.5</v>
      </c>
      <c r="I35" s="330">
        <f t="shared" si="3"/>
        <v>19</v>
      </c>
      <c r="J35" s="329">
        <v>43.1</v>
      </c>
      <c r="K35" s="331">
        <f t="shared" si="4"/>
        <v>6</v>
      </c>
      <c r="L35" s="332">
        <f>11084/4507</f>
        <v>2.4592855558020856</v>
      </c>
      <c r="M35" s="333">
        <f t="shared" si="5"/>
        <v>4</v>
      </c>
    </row>
    <row r="36" spans="1:13" s="129" customFormat="1" ht="19.5" customHeight="1">
      <c r="A36" s="52" t="s">
        <v>66</v>
      </c>
      <c r="B36" s="325">
        <v>-7.9</v>
      </c>
      <c r="C36" s="326">
        <f t="shared" si="0"/>
        <v>18</v>
      </c>
      <c r="D36" s="327">
        <v>92.3</v>
      </c>
      <c r="E36" s="328">
        <f t="shared" si="1"/>
        <v>8</v>
      </c>
      <c r="F36" s="329">
        <v>10.4</v>
      </c>
      <c r="G36" s="328">
        <f t="shared" si="2"/>
        <v>24</v>
      </c>
      <c r="H36" s="329">
        <v>44</v>
      </c>
      <c r="I36" s="330">
        <f t="shared" si="3"/>
        <v>22</v>
      </c>
      <c r="J36" s="329">
        <v>45.6</v>
      </c>
      <c r="K36" s="331">
        <f t="shared" si="4"/>
        <v>3</v>
      </c>
      <c r="L36" s="332">
        <f>3517/1489</f>
        <v>2.361987911349899</v>
      </c>
      <c r="M36" s="333">
        <f t="shared" si="5"/>
        <v>10</v>
      </c>
    </row>
    <row r="37" spans="1:13" s="129" customFormat="1" ht="19.5" customHeight="1" thickBot="1">
      <c r="A37" s="139" t="s">
        <v>67</v>
      </c>
      <c r="B37" s="352">
        <v>-10.7</v>
      </c>
      <c r="C37" s="353">
        <f t="shared" si="0"/>
        <v>23</v>
      </c>
      <c r="D37" s="354">
        <v>95.6</v>
      </c>
      <c r="E37" s="328">
        <f t="shared" si="1"/>
        <v>3</v>
      </c>
      <c r="F37" s="355">
        <v>13.1</v>
      </c>
      <c r="G37" s="328">
        <f t="shared" si="2"/>
        <v>10</v>
      </c>
      <c r="H37" s="355">
        <v>44</v>
      </c>
      <c r="I37" s="330">
        <f t="shared" si="3"/>
        <v>22</v>
      </c>
      <c r="J37" s="355">
        <v>42.9</v>
      </c>
      <c r="K37" s="331">
        <f t="shared" si="4"/>
        <v>8</v>
      </c>
      <c r="L37" s="356">
        <f>3171/1228</f>
        <v>2.5822475570032575</v>
      </c>
      <c r="M37" s="333">
        <f t="shared" si="5"/>
        <v>1</v>
      </c>
    </row>
    <row r="38" spans="1:13" s="129" customFormat="1" ht="13.5">
      <c r="A38" s="357" t="s">
        <v>258</v>
      </c>
      <c r="B38" s="358"/>
      <c r="C38" s="358"/>
      <c r="D38" s="358"/>
      <c r="E38" s="359"/>
      <c r="F38" s="359"/>
      <c r="G38" s="359"/>
      <c r="H38" s="359"/>
      <c r="I38" s="359"/>
      <c r="J38" s="359"/>
      <c r="K38" s="359"/>
      <c r="L38" s="359"/>
      <c r="M38" s="359"/>
    </row>
    <row r="39" spans="1:4" ht="13.5">
      <c r="A39" s="140"/>
      <c r="B39" s="138"/>
      <c r="C39" s="140"/>
      <c r="D39" s="140"/>
    </row>
    <row r="40" spans="1:4" ht="13.5">
      <c r="A40" s="140"/>
      <c r="B40" s="140"/>
      <c r="C40" s="140"/>
      <c r="D40" s="140"/>
    </row>
  </sheetData>
  <sheetProtection/>
  <mergeCells count="15">
    <mergeCell ref="L1:N1"/>
    <mergeCell ref="E6:E8"/>
    <mergeCell ref="G6:G8"/>
    <mergeCell ref="I6:I8"/>
    <mergeCell ref="K6:K8"/>
    <mergeCell ref="B5:B8"/>
    <mergeCell ref="D5:D8"/>
    <mergeCell ref="F5:F8"/>
    <mergeCell ref="H5:H8"/>
    <mergeCell ref="A1:B1"/>
    <mergeCell ref="M6:M8"/>
    <mergeCell ref="A3:M3"/>
    <mergeCell ref="J5:J8"/>
    <mergeCell ref="L5:L8"/>
    <mergeCell ref="C6:C8"/>
  </mergeCells>
  <printOptions/>
  <pageMargins left="0.984251968503937" right="0.3937007874015748" top="0.984251968503937" bottom="0.393700787401574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三股町役場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電算室</dc:creator>
  <cp:keywords/>
  <dc:description/>
  <cp:lastModifiedBy>Windows User</cp:lastModifiedBy>
  <cp:lastPrinted>2024-01-23T00:50:54Z</cp:lastPrinted>
  <dcterms:created xsi:type="dcterms:W3CDTF">2001-06-21T00:44:30Z</dcterms:created>
  <dcterms:modified xsi:type="dcterms:W3CDTF">2024-03-21T01:04:10Z</dcterms:modified>
  <cp:category/>
  <cp:version/>
  <cp:contentType/>
  <cp:contentStatus/>
</cp:coreProperties>
</file>