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N:\20_課長補佐\01_課長補佐（財政係・住民税係）\03_【住民税】\国保税試算関係\R08\"/>
    </mc:Choice>
  </mc:AlternateContent>
  <xr:revisionPtr revIDLastSave="0" documentId="13_ncr:1_{BEFED269-5CB4-4466-A0F2-678CDEE663CE}" xr6:coauthVersionLast="47" xr6:coauthVersionMax="47" xr10:uidLastSave="{00000000-0000-0000-0000-000000000000}"/>
  <bookViews>
    <workbookView xWindow="-120" yWindow="-120" windowWidth="29040" windowHeight="15840" activeTab="1" xr2:uid="{00000000-000D-0000-FFFF-FFFF00000000}"/>
  </bookViews>
  <sheets>
    <sheet name="注意事項等" sheetId="2" r:id="rId1"/>
    <sheet name="令和8年度試算シート" sheetId="1" r:id="rId2"/>
  </sheets>
  <definedNames>
    <definedName name="_xlnm._FilterDatabase" localSheetId="1" hidden="1">令和8年度試算シート!$AF$29:$AF$34</definedName>
    <definedName name="_xlnm.Print_Area" localSheetId="1">令和8年度試算シート!$A$1:$AE$66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 l="1"/>
  <c r="B34" i="1"/>
  <c r="B36" i="1"/>
  <c r="B38" i="1"/>
  <c r="B40" i="1"/>
  <c r="B42" i="1"/>
  <c r="D32" i="1"/>
  <c r="D34" i="1"/>
  <c r="D36" i="1"/>
  <c r="D38" i="1"/>
  <c r="D40" i="1"/>
  <c r="D42" i="1"/>
  <c r="J32" i="1"/>
  <c r="J34" i="1"/>
  <c r="J36" i="1"/>
  <c r="J38" i="1"/>
  <c r="J40" i="1"/>
  <c r="J42" i="1"/>
  <c r="CB13" i="1"/>
  <c r="CB14" i="1"/>
  <c r="CB15" i="1"/>
  <c r="CB16" i="1"/>
  <c r="CB17" i="1"/>
  <c r="BU13" i="1"/>
  <c r="BU14" i="1"/>
  <c r="BU15" i="1"/>
  <c r="BU16" i="1"/>
  <c r="BU17" i="1"/>
  <c r="BN13" i="1"/>
  <c r="BN14" i="1"/>
  <c r="BN15" i="1"/>
  <c r="BN16" i="1"/>
  <c r="BN17" i="1"/>
  <c r="BG13" i="1"/>
  <c r="BG14" i="1"/>
  <c r="BG15" i="1"/>
  <c r="BG16" i="1"/>
  <c r="BG17" i="1"/>
  <c r="CB12" i="1"/>
  <c r="BU12" i="1"/>
  <c r="BN12" i="1"/>
  <c r="BG12" i="1"/>
  <c r="Z42" i="1"/>
  <c r="Z40" i="1"/>
  <c r="Z38" i="1"/>
  <c r="R38" i="1"/>
  <c r="X27" i="1"/>
  <c r="P27" i="1"/>
  <c r="H27" i="1"/>
  <c r="T34" i="1"/>
  <c r="T36" i="1"/>
  <c r="T38" i="1"/>
  <c r="T40" i="1"/>
  <c r="T42" i="1"/>
  <c r="L42" i="1"/>
  <c r="L38" i="1"/>
  <c r="L40" i="1"/>
  <c r="L36" i="1"/>
  <c r="L32" i="1"/>
  <c r="L34" i="1"/>
  <c r="AJ25" i="1" l="1"/>
  <c r="AQ38" i="1" l="1"/>
  <c r="A1" i="1" l="1"/>
  <c r="AM4" i="1" l="1"/>
  <c r="Y56" i="1" l="1"/>
  <c r="AH4" i="1"/>
  <c r="AI4" i="1" l="1"/>
  <c r="AG4" i="1"/>
  <c r="Z4" i="1" l="1"/>
  <c r="F4" i="1"/>
  <c r="CG47" i="1" l="1"/>
  <c r="CF47" i="1"/>
  <c r="CE47" i="1"/>
  <c r="CE46" i="1"/>
  <c r="CG35" i="1"/>
  <c r="CF35" i="1"/>
  <c r="BZ47" i="1"/>
  <c r="BY47" i="1"/>
  <c r="BX47" i="1"/>
  <c r="BX46" i="1"/>
  <c r="BZ35" i="1"/>
  <c r="BZ46" i="1" s="1"/>
  <c r="BY35" i="1"/>
  <c r="BS47" i="1"/>
  <c r="BR47" i="1"/>
  <c r="BQ47" i="1"/>
  <c r="BQ46" i="1"/>
  <c r="BS35" i="1"/>
  <c r="BS46" i="1" s="1"/>
  <c r="BR35" i="1"/>
  <c r="BL47" i="1"/>
  <c r="BK47" i="1"/>
  <c r="BJ47" i="1"/>
  <c r="BJ46" i="1"/>
  <c r="BL35" i="1"/>
  <c r="BK35" i="1"/>
  <c r="BE47" i="1"/>
  <c r="BD47" i="1"/>
  <c r="BC47" i="1"/>
  <c r="BC46" i="1"/>
  <c r="BE35" i="1"/>
  <c r="BE46" i="1" s="1"/>
  <c r="BD35" i="1"/>
  <c r="CF46" i="1" l="1"/>
  <c r="CG46" i="1"/>
  <c r="BY46" i="1"/>
  <c r="BR46" i="1"/>
  <c r="BK46" i="1"/>
  <c r="BL46" i="1"/>
  <c r="BD46" i="1"/>
  <c r="AX47" i="1"/>
  <c r="AW47" i="1"/>
  <c r="AV47" i="1"/>
  <c r="AV46" i="1"/>
  <c r="AX35" i="1"/>
  <c r="AW35" i="1"/>
  <c r="AW46" i="1" l="1"/>
  <c r="AX46" i="1"/>
  <c r="H48" i="1"/>
  <c r="J48" i="1"/>
  <c r="AM9" i="1" l="1"/>
  <c r="AM8" i="1"/>
  <c r="AM7" i="1"/>
  <c r="AM6" i="1"/>
  <c r="AM5" i="1"/>
  <c r="CD47" i="1" l="1"/>
  <c r="CC47" i="1"/>
  <c r="CB47" i="1"/>
  <c r="CB46" i="1"/>
  <c r="CD35" i="1"/>
  <c r="CD46" i="1" s="1"/>
  <c r="CC35" i="1"/>
  <c r="BW47" i="1"/>
  <c r="BV47" i="1"/>
  <c r="BU47" i="1"/>
  <c r="BU46" i="1"/>
  <c r="BW35" i="1"/>
  <c r="BV35" i="1"/>
  <c r="BP47" i="1"/>
  <c r="BO47" i="1"/>
  <c r="BN47" i="1"/>
  <c r="BN46" i="1"/>
  <c r="BP35" i="1"/>
  <c r="BO35" i="1"/>
  <c r="BI47" i="1"/>
  <c r="BH47" i="1"/>
  <c r="BG47" i="1"/>
  <c r="BG46" i="1"/>
  <c r="BI35" i="1"/>
  <c r="BH35" i="1"/>
  <c r="BB47" i="1"/>
  <c r="BA47" i="1"/>
  <c r="AZ47" i="1"/>
  <c r="AZ46" i="1"/>
  <c r="BB35" i="1"/>
  <c r="BA35" i="1"/>
  <c r="CC46" i="1" l="1"/>
  <c r="BV46" i="1"/>
  <c r="BW46" i="1"/>
  <c r="BO46" i="1"/>
  <c r="BP46" i="1"/>
  <c r="BH46" i="1"/>
  <c r="BI46" i="1"/>
  <c r="BA46" i="1"/>
  <c r="BB46" i="1"/>
  <c r="AT47" i="1"/>
  <c r="AU47" i="1"/>
  <c r="AS47" i="1"/>
  <c r="AS46" i="1"/>
  <c r="AU35" i="1" l="1"/>
  <c r="AU46" i="1" s="1"/>
  <c r="AT35" i="1"/>
  <c r="AT46" i="1" s="1"/>
  <c r="AQ49" i="1"/>
  <c r="AQ50" i="1"/>
  <c r="AQ52" i="1"/>
  <c r="AQ51" i="1"/>
  <c r="AQ39" i="1"/>
  <c r="AQ40" i="1"/>
  <c r="AQ41" i="1"/>
  <c r="CB5" i="1"/>
  <c r="BU5" i="1"/>
  <c r="BN5" i="1"/>
  <c r="BG5" i="1"/>
  <c r="AZ5" i="1"/>
  <c r="AS5" i="1"/>
  <c r="AF5" i="1"/>
  <c r="AI8" i="1"/>
  <c r="AI6" i="1"/>
  <c r="AI7" i="1"/>
  <c r="AI9" i="1"/>
  <c r="AI5" i="1"/>
  <c r="AF9" i="1"/>
  <c r="AF8" i="1"/>
  <c r="AF7" i="1"/>
  <c r="AF6" i="1"/>
  <c r="AH6" i="1"/>
  <c r="AH7" i="1"/>
  <c r="AH8" i="1"/>
  <c r="AH9" i="1"/>
  <c r="AH5" i="1"/>
  <c r="AG6" i="1"/>
  <c r="AG7" i="1"/>
  <c r="AG8" i="1"/>
  <c r="AG9" i="1"/>
  <c r="AG5" i="1"/>
  <c r="AF4" i="1"/>
  <c r="AL4" i="1" s="1"/>
  <c r="BO5" i="1" l="1"/>
  <c r="BQ5" i="1"/>
  <c r="CC5" i="1"/>
  <c r="CE5" i="1"/>
  <c r="BV5" i="1"/>
  <c r="BX5" i="1"/>
  <c r="AL9" i="1"/>
  <c r="AK9" i="1"/>
  <c r="AN9" i="1" s="1"/>
  <c r="AK8" i="1"/>
  <c r="AN8" i="1" s="1"/>
  <c r="AL8" i="1"/>
  <c r="AK7" i="1"/>
  <c r="AN7" i="1" s="1"/>
  <c r="AL7" i="1"/>
  <c r="AL6" i="1"/>
  <c r="AK6" i="1"/>
  <c r="AK5" i="1"/>
  <c r="AL5" i="1"/>
  <c r="AK4" i="1"/>
  <c r="AT5" i="1"/>
  <c r="AV5" i="1"/>
  <c r="AW5" i="1" s="1"/>
  <c r="BH5" i="1"/>
  <c r="BJ5" i="1"/>
  <c r="BA5" i="1"/>
  <c r="BC5" i="1"/>
  <c r="BD5" i="1" s="1"/>
  <c r="AJ4" i="1"/>
  <c r="AJ8" i="1"/>
  <c r="AJ9" i="1"/>
  <c r="AJ7" i="1"/>
  <c r="AJ5" i="1"/>
  <c r="AJ6" i="1"/>
  <c r="CB4" i="1"/>
  <c r="BU4" i="1"/>
  <c r="BN4" i="1"/>
  <c r="BG4" i="1"/>
  <c r="AZ4" i="1"/>
  <c r="AS4" i="1"/>
  <c r="CB3" i="1"/>
  <c r="BU3" i="1"/>
  <c r="BN3" i="1"/>
  <c r="BG3" i="1"/>
  <c r="AZ3" i="1"/>
  <c r="AZ13" i="1" l="1"/>
  <c r="AZ14" i="1"/>
  <c r="AZ15" i="1"/>
  <c r="AZ16" i="1"/>
  <c r="AZ17" i="1"/>
  <c r="AZ12" i="1"/>
  <c r="R36" i="1"/>
  <c r="T32" i="1"/>
  <c r="AN4" i="1"/>
  <c r="AS32" i="1"/>
  <c r="CF5" i="1"/>
  <c r="BY5" i="1"/>
  <c r="BK5" i="1"/>
  <c r="BR5" i="1"/>
  <c r="BG32" i="1"/>
  <c r="BG44" i="1"/>
  <c r="AZ32" i="1"/>
  <c r="AN5" i="1"/>
  <c r="BR24" i="1"/>
  <c r="BR25" i="1" s="1"/>
  <c r="BQ24" i="1"/>
  <c r="BQ25" i="1" s="1"/>
  <c r="BY24" i="1"/>
  <c r="BY25" i="1" s="1"/>
  <c r="BX24" i="1"/>
  <c r="BX25" i="1" s="1"/>
  <c r="CE24" i="1"/>
  <c r="CE25" i="1" s="1"/>
  <c r="CF24" i="1"/>
  <c r="CF25" i="1" s="1"/>
  <c r="BK24" i="1"/>
  <c r="BK25" i="1" s="1"/>
  <c r="BJ24" i="1"/>
  <c r="BJ25" i="1" s="1"/>
  <c r="AZ24" i="1"/>
  <c r="BC24" i="1"/>
  <c r="BC25" i="1" s="1"/>
  <c r="BD24" i="1"/>
  <c r="BD25" i="1" s="1"/>
  <c r="BA24" i="1"/>
  <c r="CB24" i="1"/>
  <c r="CC24" i="1"/>
  <c r="BU24" i="1"/>
  <c r="BV24" i="1"/>
  <c r="BN24" i="1"/>
  <c r="BO24" i="1"/>
  <c r="BG24" i="1"/>
  <c r="BH24" i="1"/>
  <c r="AN6" i="1"/>
  <c r="CB44" i="1"/>
  <c r="CB32" i="1"/>
  <c r="BN32" i="1"/>
  <c r="AS44" i="1"/>
  <c r="BU44" i="1"/>
  <c r="BU32" i="1"/>
  <c r="BN44" i="1"/>
  <c r="AZ44" i="1"/>
  <c r="BU21" i="1"/>
  <c r="BU20" i="1"/>
  <c r="BU19" i="1"/>
  <c r="BU11" i="1"/>
  <c r="BU18" i="1"/>
  <c r="AZ18" i="1"/>
  <c r="AZ19" i="1"/>
  <c r="AZ21" i="1"/>
  <c r="AZ11" i="1"/>
  <c r="AZ20" i="1"/>
  <c r="CB21" i="1"/>
  <c r="CB18" i="1"/>
  <c r="CB20" i="1"/>
  <c r="CB19" i="1"/>
  <c r="CB11" i="1"/>
  <c r="BG19" i="1"/>
  <c r="BG11" i="1"/>
  <c r="BG18" i="1"/>
  <c r="BG20" i="1"/>
  <c r="BG21" i="1"/>
  <c r="BN19" i="1"/>
  <c r="BN11" i="1"/>
  <c r="BN20" i="1"/>
  <c r="BN18" i="1"/>
  <c r="BN21" i="1"/>
  <c r="AI21" i="1" l="1"/>
  <c r="BN25" i="1"/>
  <c r="BH25" i="1"/>
  <c r="AI23" i="1"/>
  <c r="AI22" i="1"/>
  <c r="BN10" i="1"/>
  <c r="BQ10" i="1" s="1"/>
  <c r="AZ10" i="1"/>
  <c r="AZ25" i="1" s="1"/>
  <c r="BG10" i="1"/>
  <c r="BJ10" i="1" s="1"/>
  <c r="BJ44" i="1" s="1"/>
  <c r="BJ45" i="1" s="1"/>
  <c r="CB10" i="1"/>
  <c r="CE10" i="1" s="1"/>
  <c r="BU10" i="1"/>
  <c r="BX10" i="1" s="1"/>
  <c r="CB33" i="1" l="1"/>
  <c r="BU33" i="1"/>
  <c r="BW37" i="1" s="1"/>
  <c r="BG33" i="1"/>
  <c r="CB37" i="1"/>
  <c r="CC38" i="1"/>
  <c r="CB40" i="1"/>
  <c r="CD40" i="1"/>
  <c r="BG45" i="1"/>
  <c r="BI52" i="1" s="1"/>
  <c r="AZ33" i="1"/>
  <c r="BV41" i="1"/>
  <c r="BV38" i="1"/>
  <c r="BU38" i="1"/>
  <c r="BU40" i="1"/>
  <c r="CB39" i="1"/>
  <c r="CB41" i="1"/>
  <c r="CC41" i="1"/>
  <c r="CC37" i="1"/>
  <c r="BN33" i="1"/>
  <c r="CB45" i="1"/>
  <c r="BV39" i="1"/>
  <c r="BW39" i="1"/>
  <c r="BW40" i="1"/>
  <c r="CC40" i="1"/>
  <c r="CD37" i="1"/>
  <c r="BN45" i="1"/>
  <c r="BP51" i="1" s="1"/>
  <c r="AZ45" i="1"/>
  <c r="BU45" i="1"/>
  <c r="BU49" i="1" s="1"/>
  <c r="BJ32" i="1"/>
  <c r="BJ33" i="1" s="1"/>
  <c r="BU25" i="1"/>
  <c r="BG25" i="1"/>
  <c r="BA25" i="1"/>
  <c r="CC25" i="1"/>
  <c r="BV25" i="1"/>
  <c r="CB25" i="1"/>
  <c r="BO25" i="1"/>
  <c r="BX44" i="1"/>
  <c r="BX45" i="1" s="1"/>
  <c r="BX32" i="1"/>
  <c r="BX33" i="1" s="1"/>
  <c r="BQ32" i="1"/>
  <c r="BQ33" i="1" s="1"/>
  <c r="BQ44" i="1"/>
  <c r="BQ45" i="1" s="1"/>
  <c r="CE44" i="1"/>
  <c r="CE45" i="1" s="1"/>
  <c r="CE32" i="1"/>
  <c r="CE33" i="1" s="1"/>
  <c r="BC10" i="1"/>
  <c r="BC32" i="1" s="1"/>
  <c r="BC33" i="1" s="1"/>
  <c r="AZ41" i="1" l="1"/>
  <c r="AZ39" i="1"/>
  <c r="BU39" i="1"/>
  <c r="BW38" i="1"/>
  <c r="BV40" i="1"/>
  <c r="CB38" i="1"/>
  <c r="CD41" i="1"/>
  <c r="CD38" i="1"/>
  <c r="CD39" i="1"/>
  <c r="CC39" i="1"/>
  <c r="BU41" i="1"/>
  <c r="BU37" i="1"/>
  <c r="BW41" i="1"/>
  <c r="BV37" i="1"/>
  <c r="BP41" i="1"/>
  <c r="BO41" i="1"/>
  <c r="BN41" i="1"/>
  <c r="BO39" i="1"/>
  <c r="BN37" i="1"/>
  <c r="BO40" i="1"/>
  <c r="BN40" i="1"/>
  <c r="BP39" i="1"/>
  <c r="BO38" i="1"/>
  <c r="BP40" i="1"/>
  <c r="BN39" i="1"/>
  <c r="BP38" i="1"/>
  <c r="BN38" i="1"/>
  <c r="BP37" i="1"/>
  <c r="BO37" i="1"/>
  <c r="BC44" i="1"/>
  <c r="BC45" i="1" s="1"/>
  <c r="BW52" i="1"/>
  <c r="BW49" i="1"/>
  <c r="BV50" i="1"/>
  <c r="BV52" i="1"/>
  <c r="BW50" i="1"/>
  <c r="BW51" i="1"/>
  <c r="BU50" i="1"/>
  <c r="BG51" i="1"/>
  <c r="BV48" i="1"/>
  <c r="BU52" i="1"/>
  <c r="BV51" i="1"/>
  <c r="BU51" i="1"/>
  <c r="BO48" i="1"/>
  <c r="BN51" i="1"/>
  <c r="BI50" i="1"/>
  <c r="BI48" i="1"/>
  <c r="BP50" i="1"/>
  <c r="BN50" i="1"/>
  <c r="BH48" i="1"/>
  <c r="BG50" i="1"/>
  <c r="BN52" i="1"/>
  <c r="BP48" i="1"/>
  <c r="BH52" i="1"/>
  <c r="BG49" i="1"/>
  <c r="BO49" i="1"/>
  <c r="BV49" i="1"/>
  <c r="BW48" i="1"/>
  <c r="BU48" i="1"/>
  <c r="BH50" i="1"/>
  <c r="BI49" i="1"/>
  <c r="BH49" i="1"/>
  <c r="BI51" i="1"/>
  <c r="BP49" i="1"/>
  <c r="BP52" i="1"/>
  <c r="BO52" i="1"/>
  <c r="BO50" i="1"/>
  <c r="BG48" i="1"/>
  <c r="BH51" i="1"/>
  <c r="BG52" i="1"/>
  <c r="BN49" i="1"/>
  <c r="BN48" i="1"/>
  <c r="BO51" i="1"/>
  <c r="CG49" i="1"/>
  <c r="CE38" i="1"/>
  <c r="BG40" i="1"/>
  <c r="BG38" i="1"/>
  <c r="BI39" i="1"/>
  <c r="BH40" i="1"/>
  <c r="BI37" i="1"/>
  <c r="BH41" i="1"/>
  <c r="BG41" i="1"/>
  <c r="BI38" i="1"/>
  <c r="BI41" i="1"/>
  <c r="BH38" i="1"/>
  <c r="BG39" i="1"/>
  <c r="BH37" i="1"/>
  <c r="BG37" i="1"/>
  <c r="BI40" i="1"/>
  <c r="BH39" i="1"/>
  <c r="CD49" i="1"/>
  <c r="CB48" i="1"/>
  <c r="CC51" i="1"/>
  <c r="CB50" i="1"/>
  <c r="CC48" i="1"/>
  <c r="CB52" i="1"/>
  <c r="CD50" i="1"/>
  <c r="CB49" i="1"/>
  <c r="CC50" i="1"/>
  <c r="CC52" i="1"/>
  <c r="CB51" i="1"/>
  <c r="CC49" i="1"/>
  <c r="CD52" i="1"/>
  <c r="CD51" i="1"/>
  <c r="CD48" i="1"/>
  <c r="BB38" i="1"/>
  <c r="BA39" i="1"/>
  <c r="BB40" i="1"/>
  <c r="BB37" i="1"/>
  <c r="BA38" i="1"/>
  <c r="BA37" i="1"/>
  <c r="BA40" i="1"/>
  <c r="BB39" i="1"/>
  <c r="BB41" i="1"/>
  <c r="AZ37" i="1"/>
  <c r="AZ38" i="1"/>
  <c r="AZ40" i="1"/>
  <c r="BA41" i="1"/>
  <c r="BB49" i="1"/>
  <c r="BB50" i="1"/>
  <c r="BA48" i="1"/>
  <c r="BB51" i="1"/>
  <c r="AZ50" i="1"/>
  <c r="BB48" i="1"/>
  <c r="BB52" i="1"/>
  <c r="AZ48" i="1"/>
  <c r="AZ52" i="1"/>
  <c r="BA49" i="1"/>
  <c r="BA52" i="1"/>
  <c r="BA51" i="1"/>
  <c r="BA50" i="1"/>
  <c r="AZ49" i="1"/>
  <c r="AZ51" i="1"/>
  <c r="AS3" i="1"/>
  <c r="AS14" i="1" l="1"/>
  <c r="AS15" i="1"/>
  <c r="AS16" i="1"/>
  <c r="AS17" i="1"/>
  <c r="AS13" i="1"/>
  <c r="AS12" i="1"/>
  <c r="AS20" i="1"/>
  <c r="AV24" i="1"/>
  <c r="AV25" i="1" s="1"/>
  <c r="AS21" i="1"/>
  <c r="BE51" i="1"/>
  <c r="BC37" i="1"/>
  <c r="AZ7" i="1"/>
  <c r="AW24" i="1"/>
  <c r="AW25" i="1" s="1"/>
  <c r="AS24" i="1"/>
  <c r="AT24" i="1"/>
  <c r="CF49" i="1"/>
  <c r="CE48" i="1"/>
  <c r="CF51" i="1"/>
  <c r="CG50" i="1"/>
  <c r="CF48" i="1"/>
  <c r="CG37" i="1"/>
  <c r="CE49" i="1"/>
  <c r="CE51" i="1"/>
  <c r="CG51" i="1"/>
  <c r="CF50" i="1"/>
  <c r="CF41" i="1"/>
  <c r="CG48" i="1"/>
  <c r="CE50" i="1"/>
  <c r="CG41" i="1"/>
  <c r="BX41" i="1"/>
  <c r="CG38" i="1"/>
  <c r="CF37" i="1"/>
  <c r="CE37" i="1"/>
  <c r="CE40" i="1"/>
  <c r="CE39" i="1"/>
  <c r="CF40" i="1"/>
  <c r="CF39" i="1"/>
  <c r="CE41" i="1"/>
  <c r="CF38" i="1"/>
  <c r="CG39" i="1"/>
  <c r="BZ50" i="1"/>
  <c r="CG40" i="1"/>
  <c r="BS51" i="1"/>
  <c r="BK51" i="1"/>
  <c r="BL38" i="1"/>
  <c r="AS19" i="1"/>
  <c r="AS18" i="1"/>
  <c r="AS11" i="1"/>
  <c r="AS10" i="1" l="1"/>
  <c r="AS33" i="1" s="1"/>
  <c r="BE49" i="1"/>
  <c r="BC50" i="1"/>
  <c r="BD48" i="1"/>
  <c r="BE48" i="1"/>
  <c r="BE50" i="1"/>
  <c r="BC48" i="1"/>
  <c r="BC51" i="1"/>
  <c r="BC41" i="1"/>
  <c r="BD49" i="1"/>
  <c r="BD51" i="1"/>
  <c r="BD50" i="1"/>
  <c r="BC49" i="1"/>
  <c r="BE41" i="1"/>
  <c r="BD37" i="1"/>
  <c r="BD41" i="1"/>
  <c r="BD40" i="1"/>
  <c r="BC38" i="1"/>
  <c r="BD39" i="1"/>
  <c r="BC39" i="1"/>
  <c r="BC40" i="1"/>
  <c r="BE38" i="1"/>
  <c r="BE39" i="1"/>
  <c r="BE37" i="1"/>
  <c r="BD38" i="1"/>
  <c r="BE40" i="1"/>
  <c r="AZ27" i="1"/>
  <c r="AZ8" i="1"/>
  <c r="BA7" i="1" s="1"/>
  <c r="BR49" i="1"/>
  <c r="BY48" i="1"/>
  <c r="BZ51" i="1"/>
  <c r="BX49" i="1"/>
  <c r="BZ48" i="1"/>
  <c r="BX48" i="1"/>
  <c r="BY50" i="1"/>
  <c r="BY39" i="1"/>
  <c r="BZ37" i="1"/>
  <c r="BX51" i="1"/>
  <c r="BX50" i="1"/>
  <c r="BX37" i="1"/>
  <c r="BQ49" i="1"/>
  <c r="BQ48" i="1"/>
  <c r="BS50" i="1"/>
  <c r="BZ49" i="1"/>
  <c r="BS49" i="1"/>
  <c r="BR50" i="1"/>
  <c r="BS48" i="1"/>
  <c r="BY49" i="1"/>
  <c r="BY51" i="1"/>
  <c r="BR48" i="1"/>
  <c r="BR51" i="1"/>
  <c r="BY40" i="1"/>
  <c r="BZ41" i="1"/>
  <c r="BX38" i="1"/>
  <c r="BY37" i="1"/>
  <c r="BY38" i="1"/>
  <c r="BX39" i="1"/>
  <c r="BX40" i="1"/>
  <c r="BQ51" i="1"/>
  <c r="BQ50" i="1"/>
  <c r="BZ39" i="1"/>
  <c r="BY41" i="1"/>
  <c r="BZ40" i="1"/>
  <c r="BZ38" i="1"/>
  <c r="BJ51" i="1"/>
  <c r="BJ40" i="1"/>
  <c r="BK39" i="1"/>
  <c r="BJ41" i="1"/>
  <c r="BL37" i="1"/>
  <c r="BL41" i="1"/>
  <c r="BK49" i="1"/>
  <c r="BL50" i="1"/>
  <c r="BK48" i="1"/>
  <c r="BK50" i="1"/>
  <c r="BJ49" i="1"/>
  <c r="BL51" i="1"/>
  <c r="BJ50" i="1"/>
  <c r="BL48" i="1"/>
  <c r="BJ48" i="1"/>
  <c r="BK40" i="1"/>
  <c r="BL39" i="1"/>
  <c r="BJ39" i="1"/>
  <c r="BJ38" i="1"/>
  <c r="BK37" i="1"/>
  <c r="BJ37" i="1"/>
  <c r="BK38" i="1"/>
  <c r="BK41" i="1"/>
  <c r="BL40" i="1"/>
  <c r="BL49" i="1"/>
  <c r="AV10" i="1"/>
  <c r="AS41" i="1" l="1"/>
  <c r="AS40" i="1"/>
  <c r="AS39" i="1"/>
  <c r="AS38" i="1"/>
  <c r="AT25" i="1"/>
  <c r="AS25" i="1"/>
  <c r="AS45" i="1" s="1"/>
  <c r="AV32" i="1"/>
  <c r="AV33" i="1" s="1"/>
  <c r="AV44" i="1"/>
  <c r="AV45" i="1" s="1"/>
  <c r="BA27" i="1"/>
  <c r="BA26" i="1"/>
  <c r="AS52" i="1" l="1"/>
  <c r="AS48" i="1"/>
  <c r="AS49" i="1"/>
  <c r="AS50" i="1"/>
  <c r="AS51" i="1"/>
  <c r="BA28" i="1"/>
  <c r="BX8" i="1"/>
  <c r="AV41" i="1"/>
  <c r="AS37" i="1"/>
  <c r="BA29" i="1" l="1"/>
  <c r="BA6" i="1" s="1"/>
  <c r="BA2" i="1" s="1"/>
  <c r="AV49" i="1"/>
  <c r="BC52" i="1"/>
  <c r="BZ52" i="1"/>
  <c r="BS52" i="1"/>
  <c r="BJ52" i="1"/>
  <c r="CE52" i="1"/>
  <c r="BX52" i="1"/>
  <c r="BQ52" i="1"/>
  <c r="BE52" i="1"/>
  <c r="BL52" i="1"/>
  <c r="BR52" i="1"/>
  <c r="CG52" i="1"/>
  <c r="BD52" i="1"/>
  <c r="BY52" i="1"/>
  <c r="BK52" i="1"/>
  <c r="CF52" i="1"/>
  <c r="AV38" i="1"/>
  <c r="AX38" i="1"/>
  <c r="AW39" i="1"/>
  <c r="AW37" i="1"/>
  <c r="AV40" i="1"/>
  <c r="AW40" i="1"/>
  <c r="AX41" i="1"/>
  <c r="AV37" i="1"/>
  <c r="AX37" i="1"/>
  <c r="AW38" i="1"/>
  <c r="AX40" i="1"/>
  <c r="AV39" i="1"/>
  <c r="AW41" i="1"/>
  <c r="AX39" i="1"/>
  <c r="AV52" i="1"/>
  <c r="AX52" i="1"/>
  <c r="AW52" i="1"/>
  <c r="AU38" i="1"/>
  <c r="AT39" i="1"/>
  <c r="AT37" i="1"/>
  <c r="AU41" i="1"/>
  <c r="AU39" i="1"/>
  <c r="AT38" i="1"/>
  <c r="AU37" i="1"/>
  <c r="AT41" i="1"/>
  <c r="AU40" i="1"/>
  <c r="AU49" i="1"/>
  <c r="AT50" i="1"/>
  <c r="AU51" i="1"/>
  <c r="AT49" i="1"/>
  <c r="AT48" i="1"/>
  <c r="AT52" i="1"/>
  <c r="AT51" i="1"/>
  <c r="AU48" i="1"/>
  <c r="AU52" i="1"/>
  <c r="AU50" i="1"/>
  <c r="AT40" i="1"/>
  <c r="BX7" i="1" l="1"/>
  <c r="BY7" i="1" s="1"/>
  <c r="BY27" i="1" s="1"/>
  <c r="AS7" i="1"/>
  <c r="BJ7" i="1"/>
  <c r="BJ8" i="1" s="1"/>
  <c r="BK7" i="1" s="1"/>
  <c r="BK26" i="1" s="1"/>
  <c r="AX51" i="1"/>
  <c r="BC7" i="1"/>
  <c r="BC26" i="1" s="1"/>
  <c r="CE7" i="1"/>
  <c r="AW49" i="1"/>
  <c r="AV51" i="1"/>
  <c r="AW50" i="1"/>
  <c r="AX49" i="1"/>
  <c r="AV48" i="1"/>
  <c r="AV50" i="1"/>
  <c r="AX50" i="1"/>
  <c r="AW51" i="1"/>
  <c r="AW48" i="1"/>
  <c r="AX48" i="1"/>
  <c r="BU7" i="1"/>
  <c r="P19" i="1" s="1"/>
  <c r="BN7" i="1"/>
  <c r="CB7" i="1"/>
  <c r="BG7" i="1"/>
  <c r="BY26" i="1" l="1"/>
  <c r="BY28" i="1" s="1"/>
  <c r="BY29" i="1" s="1"/>
  <c r="BY6" i="1" s="1"/>
  <c r="BY2" i="1" s="1"/>
  <c r="P15" i="1"/>
  <c r="AS26" i="1"/>
  <c r="BK27" i="1"/>
  <c r="BK28" i="1" s="1"/>
  <c r="P21" i="1"/>
  <c r="CE8" i="1"/>
  <c r="CF7" i="1" s="1"/>
  <c r="CF27" i="1" s="1"/>
  <c r="P13" i="1"/>
  <c r="BC8" i="1"/>
  <c r="BD7" i="1" s="1"/>
  <c r="BD26" i="1" s="1"/>
  <c r="BC27" i="1"/>
  <c r="BC28" i="1" s="1"/>
  <c r="AV7" i="1"/>
  <c r="P10" i="1" s="1"/>
  <c r="AS8" i="1"/>
  <c r="AV27" i="1"/>
  <c r="AV26" i="1"/>
  <c r="AS27" i="1"/>
  <c r="CB8" i="1"/>
  <c r="CC7" i="1" s="1"/>
  <c r="CE27" i="1"/>
  <c r="CE26" i="1"/>
  <c r="BU8" i="1"/>
  <c r="BV7" i="1" s="1"/>
  <c r="BX27" i="1"/>
  <c r="BX26" i="1"/>
  <c r="BN8" i="1"/>
  <c r="BO7" i="1" s="1"/>
  <c r="BQ27" i="1"/>
  <c r="BQ26" i="1"/>
  <c r="BG8" i="1"/>
  <c r="BH7" i="1" s="1"/>
  <c r="BJ26" i="1"/>
  <c r="BJ27" i="1"/>
  <c r="CB27" i="1"/>
  <c r="CB26" i="1"/>
  <c r="BU26" i="1"/>
  <c r="BU27" i="1"/>
  <c r="BN27" i="1"/>
  <c r="BN26" i="1"/>
  <c r="BG26" i="1"/>
  <c r="BG27" i="1"/>
  <c r="AZ26" i="1"/>
  <c r="AZ28" i="1" s="1"/>
  <c r="BK29" i="1" l="1"/>
  <c r="BK6" i="1" s="1"/>
  <c r="BK2" i="1" s="1"/>
  <c r="AS28" i="1"/>
  <c r="AS29" i="1" s="1"/>
  <c r="AT7" i="1"/>
  <c r="AT26" i="1" s="1"/>
  <c r="CF26" i="1"/>
  <c r="CF28" i="1" s="1"/>
  <c r="CF29" i="1" s="1"/>
  <c r="AZ29" i="1"/>
  <c r="AZ6" i="1" s="1"/>
  <c r="BC29" i="1"/>
  <c r="BC6" i="1" s="1"/>
  <c r="BJ28" i="1"/>
  <c r="BJ29" i="1" s="1"/>
  <c r="BD27" i="1"/>
  <c r="BD28" i="1" s="1"/>
  <c r="AV28" i="1"/>
  <c r="AV8" i="1"/>
  <c r="AW7" i="1" s="1"/>
  <c r="CE28" i="1"/>
  <c r="BQ28" i="1"/>
  <c r="BX28" i="1"/>
  <c r="CC27" i="1"/>
  <c r="CC26" i="1"/>
  <c r="BV26" i="1"/>
  <c r="BV27" i="1"/>
  <c r="BO27" i="1"/>
  <c r="BO26" i="1"/>
  <c r="BH27" i="1"/>
  <c r="BH26" i="1"/>
  <c r="CB28" i="1"/>
  <c r="BU28" i="1"/>
  <c r="BN28" i="1"/>
  <c r="BG28" i="1"/>
  <c r="AT27" i="1" l="1"/>
  <c r="AT28" i="1" s="1"/>
  <c r="BQ41" i="1"/>
  <c r="BS38" i="1"/>
  <c r="BR37" i="1"/>
  <c r="BS40" i="1"/>
  <c r="BQ40" i="1"/>
  <c r="BR39" i="1"/>
  <c r="BQ38" i="1"/>
  <c r="BR38" i="1"/>
  <c r="BS39" i="1"/>
  <c r="BR40" i="1"/>
  <c r="BQ39" i="1"/>
  <c r="BS41" i="1"/>
  <c r="BS37" i="1"/>
  <c r="BR41" i="1"/>
  <c r="BQ37" i="1"/>
  <c r="CF6" i="1"/>
  <c r="CF2" i="1" s="1"/>
  <c r="BJ6" i="1"/>
  <c r="CC28" i="1"/>
  <c r="CC29" i="1" s="1"/>
  <c r="BX29" i="1"/>
  <c r="BX6" i="1" s="1"/>
  <c r="AV29" i="1"/>
  <c r="AV6" i="1" s="1"/>
  <c r="AS6" i="1"/>
  <c r="BN29" i="1"/>
  <c r="BN6" i="1" s="1"/>
  <c r="BU29" i="1"/>
  <c r="BU6" i="1" s="1"/>
  <c r="BQ29" i="1"/>
  <c r="BQ6" i="1" s="1"/>
  <c r="BG29" i="1"/>
  <c r="BG6" i="1" s="1"/>
  <c r="CB29" i="1"/>
  <c r="CB6" i="1" s="1"/>
  <c r="CE29" i="1"/>
  <c r="CE6" i="1" s="1"/>
  <c r="BD29" i="1"/>
  <c r="BD6" i="1" s="1"/>
  <c r="BD2" i="1" s="1"/>
  <c r="BO28" i="1"/>
  <c r="BH28" i="1"/>
  <c r="AW27" i="1"/>
  <c r="AW26" i="1"/>
  <c r="BV28" i="1"/>
  <c r="J13" i="1"/>
  <c r="T13" i="1" s="1"/>
  <c r="AT29" i="1" l="1"/>
  <c r="AT6" i="1" s="1"/>
  <c r="AT2" i="1" s="1"/>
  <c r="BQ7" i="1"/>
  <c r="J15" i="1"/>
  <c r="T15" i="1" s="1"/>
  <c r="V15" i="1" s="1"/>
  <c r="X15" i="1" s="1"/>
  <c r="Z36" i="1" s="1"/>
  <c r="J19" i="1"/>
  <c r="T19" i="1" s="1"/>
  <c r="J17" i="1"/>
  <c r="CC6" i="1"/>
  <c r="J10" i="1"/>
  <c r="T10" i="1" s="1"/>
  <c r="J21" i="1"/>
  <c r="T21" i="1" s="1"/>
  <c r="V13" i="1"/>
  <c r="X13" i="1" s="1"/>
  <c r="BV29" i="1"/>
  <c r="BV6" i="1" s="1"/>
  <c r="BH29" i="1"/>
  <c r="BH6" i="1" s="1"/>
  <c r="BH2" i="1" s="1"/>
  <c r="BO29" i="1"/>
  <c r="BO6" i="1" s="1"/>
  <c r="BO2" i="1" s="1"/>
  <c r="BB2" i="1"/>
  <c r="AW28" i="1"/>
  <c r="Z34" i="1" l="1"/>
  <c r="R34" i="1"/>
  <c r="BV2" i="1"/>
  <c r="BW2" i="1" s="1"/>
  <c r="CC2" i="1"/>
  <c r="CD2" i="1" s="1"/>
  <c r="BQ8" i="1"/>
  <c r="BR7" i="1" s="1"/>
  <c r="P17" i="1"/>
  <c r="T17" i="1" s="1"/>
  <c r="V17" i="1" s="1"/>
  <c r="X17" i="1" s="1"/>
  <c r="V19" i="1"/>
  <c r="X19" i="1" s="1"/>
  <c r="R40" i="1" s="1"/>
  <c r="AW29" i="1"/>
  <c r="AW6" i="1" s="1"/>
  <c r="AW2" i="1" s="1"/>
  <c r="BI2" i="1"/>
  <c r="V10" i="1"/>
  <c r="X10" i="1" s="1"/>
  <c r="Z32" i="1" l="1"/>
  <c r="R32" i="1"/>
  <c r="BR27" i="1"/>
  <c r="BR26" i="1"/>
  <c r="V21" i="1"/>
  <c r="X21" i="1" s="1"/>
  <c r="R42" i="1" s="1"/>
  <c r="AU2" i="1"/>
  <c r="BR28" i="1" l="1"/>
  <c r="BR29" i="1"/>
  <c r="BR6" i="1" l="1"/>
  <c r="BR2" i="1" s="1"/>
  <c r="BP2" i="1" s="1"/>
  <c r="AI19" i="1" s="1"/>
  <c r="AJ21" i="1" s="1"/>
  <c r="AJ23" i="1" l="1"/>
  <c r="AJ22" i="1"/>
  <c r="AJ24" i="1" l="1"/>
  <c r="F32" i="1" l="1"/>
  <c r="F34" i="1"/>
  <c r="F36" i="1"/>
  <c r="F38" i="1"/>
  <c r="F40" i="1"/>
  <c r="F42" i="1"/>
  <c r="AB42" i="1"/>
  <c r="AB40" i="1"/>
  <c r="AB38" i="1"/>
  <c r="N38" i="1"/>
  <c r="B24" i="1"/>
  <c r="V38" i="1"/>
  <c r="V34" i="1"/>
  <c r="N42" i="1"/>
  <c r="V36" i="1"/>
  <c r="N40" i="1"/>
  <c r="N36" i="1"/>
  <c r="V40" i="1"/>
  <c r="N34" i="1"/>
  <c r="V42" i="1"/>
  <c r="H32" i="1" l="1"/>
  <c r="AB36" i="1"/>
  <c r="AB34" i="1"/>
  <c r="AB32" i="1"/>
  <c r="AD32" i="1" s="1"/>
  <c r="N32" i="1"/>
  <c r="P32" i="1"/>
  <c r="P44" i="1"/>
  <c r="V32" i="1"/>
  <c r="X32" i="1" s="1"/>
  <c r="X44" i="1" s="1"/>
  <c r="H44" i="1" l="1"/>
  <c r="AD44" i="1" l="1"/>
  <c r="F48" i="1"/>
  <c r="H54" i="1"/>
  <c r="F54" i="1"/>
  <c r="A68" i="1"/>
  <c r="F50" i="1"/>
</calcChain>
</file>

<file path=xl/sharedStrings.xml><?xml version="1.0" encoding="utf-8"?>
<sst xmlns="http://schemas.openxmlformats.org/spreadsheetml/2006/main" count="368" uniqueCount="154">
  <si>
    <t>世帯構成</t>
    <rPh sb="0" eb="4">
      <t>セタイコウセイ</t>
    </rPh>
    <phoneticPr fontId="1"/>
  </si>
  <si>
    <t>加入状況・年齢区分</t>
    <rPh sb="0" eb="4">
      <t>カニュウジョウキョウ</t>
    </rPh>
    <rPh sb="5" eb="9">
      <t>ネンレイクブン</t>
    </rPh>
    <phoneticPr fontId="1"/>
  </si>
  <si>
    <t>給与収入</t>
    <rPh sb="0" eb="4">
      <t>キュウヨシュウニュウ</t>
    </rPh>
    <phoneticPr fontId="1"/>
  </si>
  <si>
    <t>給与所得</t>
    <rPh sb="0" eb="4">
      <t>キュウヨショトク</t>
    </rPh>
    <phoneticPr fontId="1"/>
  </si>
  <si>
    <t>※会社都合による退職の場合は給与所得の30％</t>
    <rPh sb="1" eb="5">
      <t>カイシャツゴウ</t>
    </rPh>
    <rPh sb="8" eb="10">
      <t>タイショク</t>
    </rPh>
    <rPh sb="11" eb="13">
      <t>バアイ</t>
    </rPh>
    <rPh sb="14" eb="18">
      <t>キュウヨショトク</t>
    </rPh>
    <phoneticPr fontId="1"/>
  </si>
  <si>
    <t>公的年金所得</t>
    <rPh sb="0" eb="6">
      <t>コウテキネンキンショトク</t>
    </rPh>
    <phoneticPr fontId="1"/>
  </si>
  <si>
    <t>所得の合計</t>
    <rPh sb="0" eb="2">
      <t>ショトク</t>
    </rPh>
    <rPh sb="3" eb="5">
      <t>ゴウケイ</t>
    </rPh>
    <phoneticPr fontId="1"/>
  </si>
  <si>
    <t>退職理由</t>
    <rPh sb="0" eb="4">
      <t>タイショクリユウ</t>
    </rPh>
    <phoneticPr fontId="1"/>
  </si>
  <si>
    <t>自己都合</t>
    <rPh sb="0" eb="4">
      <t>ジコツゴウ</t>
    </rPh>
    <phoneticPr fontId="1"/>
  </si>
  <si>
    <t>会社都合</t>
    <rPh sb="0" eb="4">
      <t>カイシャツゴウ</t>
    </rPh>
    <phoneticPr fontId="1"/>
  </si>
  <si>
    <t>※国保未加入の場合でも入力</t>
    <rPh sb="1" eb="3">
      <t>コクホ</t>
    </rPh>
    <rPh sb="3" eb="6">
      <t>ミカニュウ</t>
    </rPh>
    <rPh sb="7" eb="9">
      <t>バアイ</t>
    </rPh>
    <rPh sb="11" eb="13">
      <t>ニュウリョク</t>
    </rPh>
    <phoneticPr fontId="1"/>
  </si>
  <si>
    <t>世 帯 主</t>
    <rPh sb="0" eb="1">
      <t>ヨ</t>
    </rPh>
    <rPh sb="2" eb="3">
      <t>オビ</t>
    </rPh>
    <rPh sb="4" eb="5">
      <t>シュ</t>
    </rPh>
    <phoneticPr fontId="1"/>
  </si>
  <si>
    <t>世帯員１</t>
    <rPh sb="0" eb="3">
      <t>セタイイン</t>
    </rPh>
    <phoneticPr fontId="1"/>
  </si>
  <si>
    <t>世帯員２</t>
    <rPh sb="0" eb="3">
      <t>セタイイン</t>
    </rPh>
    <phoneticPr fontId="1"/>
  </si>
  <si>
    <t>世帯員３</t>
    <rPh sb="0" eb="3">
      <t>セタイイン</t>
    </rPh>
    <phoneticPr fontId="1"/>
  </si>
  <si>
    <t>世帯員４</t>
    <rPh sb="0" eb="3">
      <t>セタイイン</t>
    </rPh>
    <phoneticPr fontId="1"/>
  </si>
  <si>
    <t>世帯員５</t>
    <rPh sb="0" eb="3">
      <t>セタイイン</t>
    </rPh>
    <phoneticPr fontId="1"/>
  </si>
  <si>
    <t>基礎控除額</t>
    <rPh sb="0" eb="5">
      <t>キソコウジョガク</t>
    </rPh>
    <phoneticPr fontId="1"/>
  </si>
  <si>
    <t>円</t>
    <rPh sb="0" eb="1">
      <t>エン</t>
    </rPh>
    <phoneticPr fontId="1"/>
  </si>
  <si>
    <t>加入 ・ 未就学児</t>
    <rPh sb="0" eb="2">
      <t>カニュウ</t>
    </rPh>
    <rPh sb="5" eb="9">
      <t>ミシュウガクジ</t>
    </rPh>
    <phoneticPr fontId="1"/>
  </si>
  <si>
    <t>加入 ・ 39歳以下（未就学児除く）</t>
    <rPh sb="0" eb="2">
      <t>カニュウ</t>
    </rPh>
    <rPh sb="7" eb="10">
      <t>サイイカ</t>
    </rPh>
    <rPh sb="11" eb="15">
      <t>ミシュウガクジ</t>
    </rPh>
    <rPh sb="15" eb="16">
      <t>ノゾ</t>
    </rPh>
    <phoneticPr fontId="1"/>
  </si>
  <si>
    <t>加入 ・ 40歳以上64歳以下</t>
    <rPh sb="0" eb="2">
      <t>カニュウ</t>
    </rPh>
    <rPh sb="7" eb="10">
      <t>サイイジョウ</t>
    </rPh>
    <rPh sb="12" eb="15">
      <t>サイイカ</t>
    </rPh>
    <phoneticPr fontId="1"/>
  </si>
  <si>
    <t>加入 ・ 65歳以上74歳以下</t>
    <rPh sb="0" eb="2">
      <t>カニュウ</t>
    </rPh>
    <rPh sb="7" eb="10">
      <t>サイイジョウ</t>
    </rPh>
    <rPh sb="12" eb="15">
      <t>サイイカ</t>
    </rPh>
    <phoneticPr fontId="1"/>
  </si>
  <si>
    <t>未加入 ・ 64歳以下</t>
    <rPh sb="0" eb="1">
      <t>ミ</t>
    </rPh>
    <rPh sb="1" eb="3">
      <t>カニュウ</t>
    </rPh>
    <rPh sb="8" eb="11">
      <t>サイイカ</t>
    </rPh>
    <phoneticPr fontId="1"/>
  </si>
  <si>
    <t>未加入 ・ 65歳以上</t>
    <rPh sb="0" eb="1">
      <t>ミ</t>
    </rPh>
    <rPh sb="1" eb="3">
      <t>カニュウ</t>
    </rPh>
    <rPh sb="8" eb="11">
      <t>サイイジョウ</t>
    </rPh>
    <phoneticPr fontId="1"/>
  </si>
  <si>
    <t>公的年金等
の収入</t>
    <rPh sb="0" eb="2">
      <t>コウテキ</t>
    </rPh>
    <rPh sb="2" eb="4">
      <t>ネンキン</t>
    </rPh>
    <rPh sb="4" eb="5">
      <t>トウ</t>
    </rPh>
    <phoneticPr fontId="1"/>
  </si>
  <si>
    <t>固定資産税情報</t>
    <phoneticPr fontId="1"/>
  </si>
  <si>
    <t>所得割
算定基礎額</t>
    <phoneticPr fontId="1"/>
  </si>
  <si>
    <t>医療保険分</t>
    <rPh sb="0" eb="5">
      <t>イリョウホケンブン</t>
    </rPh>
    <phoneticPr fontId="1"/>
  </si>
  <si>
    <t>所得割</t>
    <rPh sb="0" eb="3">
      <t>ショトクワリ</t>
    </rPh>
    <phoneticPr fontId="1"/>
  </si>
  <si>
    <t>資産割</t>
    <rPh sb="0" eb="3">
      <t>シサンワリ</t>
    </rPh>
    <phoneticPr fontId="1"/>
  </si>
  <si>
    <t>後期高齢者支援金分</t>
    <rPh sb="0" eb="5">
      <t>コウキコウレイシャ</t>
    </rPh>
    <rPh sb="5" eb="9">
      <t>シエンキンブン</t>
    </rPh>
    <phoneticPr fontId="1"/>
  </si>
  <si>
    <t>均等割</t>
    <rPh sb="0" eb="3">
      <t>キントウワリ</t>
    </rPh>
    <phoneticPr fontId="1"/>
  </si>
  <si>
    <t>平等割</t>
    <rPh sb="0" eb="3">
      <t>ビョウドウワリ</t>
    </rPh>
    <phoneticPr fontId="1"/>
  </si>
  <si>
    <t>介護納付金分（40～64歳）</t>
    <rPh sb="0" eb="2">
      <t>カイゴ</t>
    </rPh>
    <rPh sb="2" eb="5">
      <t>ノウフキン</t>
    </rPh>
    <rPh sb="5" eb="6">
      <t>ブン</t>
    </rPh>
    <rPh sb="12" eb="13">
      <t>サイ</t>
    </rPh>
    <phoneticPr fontId="1"/>
  </si>
  <si>
    <t>％</t>
    <phoneticPr fontId="1"/>
  </si>
  <si>
    <t>世帯主</t>
    <rPh sb="0" eb="3">
      <t>セタイヌシ</t>
    </rPh>
    <phoneticPr fontId="1"/>
  </si>
  <si>
    <t>給与収入</t>
    <rPh sb="0" eb="2">
      <t>キュウヨ</t>
    </rPh>
    <rPh sb="2" eb="4">
      <t>シュウニュウ</t>
    </rPh>
    <phoneticPr fontId="1"/>
  </si>
  <si>
    <t>世帯員１</t>
    <rPh sb="0" eb="3">
      <t>セタイイン</t>
    </rPh>
    <phoneticPr fontId="1"/>
  </si>
  <si>
    <t>世帯員２</t>
    <rPh sb="0" eb="3">
      <t>セタイイン</t>
    </rPh>
    <phoneticPr fontId="1"/>
  </si>
  <si>
    <t>世帯員３</t>
    <rPh sb="0" eb="3">
      <t>セタイイン</t>
    </rPh>
    <phoneticPr fontId="1"/>
  </si>
  <si>
    <t>世帯員４</t>
    <rPh sb="0" eb="3">
      <t>セタイイン</t>
    </rPh>
    <phoneticPr fontId="1"/>
  </si>
  <si>
    <t>世帯員５</t>
    <rPh sb="0" eb="3">
      <t>セタイイン</t>
    </rPh>
    <phoneticPr fontId="1"/>
  </si>
  <si>
    <t>給与所得</t>
    <rPh sb="0" eb="2">
      <t>キュウヨ</t>
    </rPh>
    <rPh sb="2" eb="4">
      <t>ショトク</t>
    </rPh>
    <phoneticPr fontId="1"/>
  </si>
  <si>
    <t>年金収入</t>
    <rPh sb="0" eb="4">
      <t>ネンキンシュウニュウ</t>
    </rPh>
    <phoneticPr fontId="1"/>
  </si>
  <si>
    <t>65歳未満</t>
    <rPh sb="2" eb="5">
      <t>サイミマン</t>
    </rPh>
    <phoneticPr fontId="1"/>
  </si>
  <si>
    <t>年金以外所得</t>
    <rPh sb="0" eb="6">
      <t>ネンキンイガイショトク</t>
    </rPh>
    <phoneticPr fontId="1"/>
  </si>
  <si>
    <t>所得計算</t>
    <rPh sb="0" eb="2">
      <t>ショトク</t>
    </rPh>
    <rPh sb="2" eb="4">
      <t>ケイサン</t>
    </rPh>
    <phoneticPr fontId="1"/>
  </si>
  <si>
    <t>調整控除</t>
  </si>
  <si>
    <t>調整控除</t>
    <rPh sb="0" eb="4">
      <t>チョウセイコウジョ</t>
    </rPh>
    <phoneticPr fontId="1"/>
  </si>
  <si>
    <t>所得金額調整控除関係</t>
    <rPh sb="0" eb="2">
      <t>ショトク</t>
    </rPh>
    <rPh sb="2" eb="4">
      <t>キンガク</t>
    </rPh>
    <rPh sb="4" eb="8">
      <t>チョウセイコウジョ</t>
    </rPh>
    <rPh sb="8" eb="10">
      <t>カンケイ</t>
    </rPh>
    <phoneticPr fontId="1"/>
  </si>
  <si>
    <t>所得金額</t>
    <rPh sb="0" eb="4">
      <t>ショトクキンガク</t>
    </rPh>
    <phoneticPr fontId="1"/>
  </si>
  <si>
    <t>本人が特別障害者</t>
    <rPh sb="0" eb="2">
      <t>ホンニン</t>
    </rPh>
    <rPh sb="3" eb="5">
      <t>トクベツ</t>
    </rPh>
    <rPh sb="5" eb="8">
      <t>ショウガイシャ</t>
    </rPh>
    <phoneticPr fontId="1"/>
  </si>
  <si>
    <t>同一生計配偶者が特別障害者</t>
    <rPh sb="0" eb="4">
      <t>ドウイツセイケイ</t>
    </rPh>
    <rPh sb="4" eb="7">
      <t>ハイグウシャ</t>
    </rPh>
    <phoneticPr fontId="1"/>
  </si>
  <si>
    <t>扶養親族が特別障害者</t>
    <rPh sb="0" eb="2">
      <t>フヨウ</t>
    </rPh>
    <rPh sb="2" eb="4">
      <t>シンゾク</t>
    </rPh>
    <phoneticPr fontId="1"/>
  </si>
  <si>
    <t>加入状況</t>
    <rPh sb="0" eb="2">
      <t>カニュウ</t>
    </rPh>
    <rPh sb="2" eb="4">
      <t>ジョウキョウ</t>
    </rPh>
    <phoneticPr fontId="1"/>
  </si>
  <si>
    <t>加入</t>
    <rPh sb="0" eb="2">
      <t>カニュウ</t>
    </rPh>
    <phoneticPr fontId="1"/>
  </si>
  <si>
    <t>未加入</t>
    <rPh sb="0" eb="3">
      <t>ミカニュウ</t>
    </rPh>
    <phoneticPr fontId="1"/>
  </si>
  <si>
    <t>加入状況</t>
    <rPh sb="0" eb="4">
      <t>カニュウジョウキョウ</t>
    </rPh>
    <phoneticPr fontId="1"/>
  </si>
  <si>
    <t>生年月日</t>
    <rPh sb="0" eb="4">
      <t>セイネンガッピ</t>
    </rPh>
    <phoneticPr fontId="1"/>
  </si>
  <si>
    <t>※給与収入が850万円を超える場合は入力</t>
    <rPh sb="1" eb="3">
      <t>キュウヨ</t>
    </rPh>
    <rPh sb="3" eb="5">
      <t>シュウニュウ</t>
    </rPh>
    <rPh sb="9" eb="11">
      <t>マンエン</t>
    </rPh>
    <rPh sb="12" eb="13">
      <t>チョウ</t>
    </rPh>
    <rPh sb="15" eb="17">
      <t>バアイ</t>
    </rPh>
    <rPh sb="18" eb="20">
      <t>ニュウリョク</t>
    </rPh>
    <phoneticPr fontId="1"/>
  </si>
  <si>
    <t>23歳未満の扶養親族がいる</t>
    <rPh sb="2" eb="5">
      <t>サイミマン</t>
    </rPh>
    <phoneticPr fontId="1"/>
  </si>
  <si>
    <t>どれにも当てはまらない</t>
    <rPh sb="4" eb="5">
      <t>ア</t>
    </rPh>
    <phoneticPr fontId="1"/>
  </si>
  <si>
    <t>※会社都合による退職の場合は入力</t>
    <rPh sb="1" eb="5">
      <t>カイシャツゴウ</t>
    </rPh>
    <rPh sb="8" eb="10">
      <t>タイショク</t>
    </rPh>
    <rPh sb="11" eb="13">
      <t>バアイ</t>
    </rPh>
    <rPh sb="14" eb="16">
      <t>ニュウリョク</t>
    </rPh>
    <phoneticPr fontId="1"/>
  </si>
  <si>
    <t>基準日1</t>
    <rPh sb="0" eb="3">
      <t>キジュンビ</t>
    </rPh>
    <phoneticPr fontId="8"/>
  </si>
  <si>
    <t>基準日2</t>
    <rPh sb="0" eb="3">
      <t>キジュンビ</t>
    </rPh>
    <phoneticPr fontId="8"/>
  </si>
  <si>
    <t>基準1年齢</t>
    <rPh sb="0" eb="2">
      <t>キジュン</t>
    </rPh>
    <rPh sb="3" eb="5">
      <t>ネンレイ</t>
    </rPh>
    <phoneticPr fontId="8"/>
  </si>
  <si>
    <t>基準日3</t>
    <rPh sb="0" eb="3">
      <t>キジュンビ</t>
    </rPh>
    <phoneticPr fontId="8"/>
  </si>
  <si>
    <t>生年月日</t>
    <rPh sb="0" eb="4">
      <t>セイネンガッピ</t>
    </rPh>
    <phoneticPr fontId="1"/>
  </si>
  <si>
    <t>(賦課期日)</t>
    <rPh sb="1" eb="5">
      <t>フカキジツ</t>
    </rPh>
    <phoneticPr fontId="1"/>
  </si>
  <si>
    <t>(年金)</t>
    <rPh sb="1" eb="3">
      <t>ネンキン</t>
    </rPh>
    <phoneticPr fontId="1"/>
  </si>
  <si>
    <t>(未就学)</t>
    <rPh sb="1" eb="4">
      <t>ミシュウガク</t>
    </rPh>
    <phoneticPr fontId="1"/>
  </si>
  <si>
    <t>基準3判定</t>
    <rPh sb="0" eb="2">
      <t>キジュン</t>
    </rPh>
    <rPh sb="3" eb="5">
      <t>ハンテイ</t>
    </rPh>
    <phoneticPr fontId="8"/>
  </si>
  <si>
    <t>基準2判定</t>
    <rPh sb="0" eb="2">
      <t>キジュン</t>
    </rPh>
    <rPh sb="3" eb="5">
      <t>ハンテイ</t>
    </rPh>
    <phoneticPr fontId="8"/>
  </si>
  <si>
    <t>給与所得</t>
    <rPh sb="0" eb="4">
      <t>キュウヨショトク</t>
    </rPh>
    <phoneticPr fontId="1"/>
  </si>
  <si>
    <t>年金所得</t>
    <rPh sb="0" eb="4">
      <t>ネンキンショトク</t>
    </rPh>
    <phoneticPr fontId="1"/>
  </si>
  <si>
    <t>計算1</t>
    <rPh sb="0" eb="2">
      <t>ケイサン</t>
    </rPh>
    <phoneticPr fontId="1"/>
  </si>
  <si>
    <t>計算2</t>
    <rPh sb="0" eb="2">
      <t>ケイサン</t>
    </rPh>
    <phoneticPr fontId="1"/>
  </si>
  <si>
    <t>調整控除前</t>
    <rPh sb="0" eb="5">
      <t>チョウセイコウジョマエ</t>
    </rPh>
    <phoneticPr fontId="1"/>
  </si>
  <si>
    <t>他所得</t>
    <rPh sb="0" eb="1">
      <t>タ</t>
    </rPh>
    <rPh sb="1" eb="3">
      <t>ショトク</t>
    </rPh>
    <phoneticPr fontId="1"/>
  </si>
  <si>
    <t>65歳以上</t>
    <rPh sb="2" eb="5">
      <t>サイイジョウ</t>
    </rPh>
    <phoneticPr fontId="1"/>
  </si>
  <si>
    <t>軽減割合</t>
    <rPh sb="0" eb="4">
      <t>ケイゲンワリアイ</t>
    </rPh>
    <phoneticPr fontId="1"/>
  </si>
  <si>
    <t>基礎控除</t>
    <rPh sb="0" eb="4">
      <t>キソコウジョ</t>
    </rPh>
    <phoneticPr fontId="1"/>
  </si>
  <si>
    <t>軽減判定</t>
    <rPh sb="0" eb="4">
      <t>ケイゲンハンテイ</t>
    </rPh>
    <phoneticPr fontId="1"/>
  </si>
  <si>
    <t>(給与・公年)</t>
    <rPh sb="1" eb="3">
      <t>キュウヨ</t>
    </rPh>
    <rPh sb="4" eb="6">
      <t>コウネン</t>
    </rPh>
    <phoneticPr fontId="1"/>
  </si>
  <si>
    <t>年金所得軽減</t>
    <rPh sb="0" eb="4">
      <t>ネンキンショトク</t>
    </rPh>
    <rPh sb="4" eb="6">
      <t>ケイゲン</t>
    </rPh>
    <phoneticPr fontId="1"/>
  </si>
  <si>
    <t>年金</t>
    <rPh sb="0" eb="2">
      <t>ネンキン</t>
    </rPh>
    <phoneticPr fontId="1"/>
  </si>
  <si>
    <t>加入判定</t>
    <rPh sb="0" eb="2">
      <t>カニュウ</t>
    </rPh>
    <rPh sb="2" eb="4">
      <t>ハンテイ</t>
    </rPh>
    <phoneticPr fontId="1"/>
  </si>
  <si>
    <t>円</t>
    <rPh sb="0" eb="1">
      <t>エン</t>
    </rPh>
    <phoneticPr fontId="1"/>
  </si>
  <si>
    <t>その他の所得</t>
    <rPh sb="2" eb="3">
      <t>タ</t>
    </rPh>
    <rPh sb="4" eb="6">
      <t>ショトク</t>
    </rPh>
    <phoneticPr fontId="1"/>
  </si>
  <si>
    <t>※給与、公的年金以外の所得</t>
    <rPh sb="1" eb="3">
      <t>キュウヨ</t>
    </rPh>
    <rPh sb="4" eb="8">
      <t>コウテキネンキン</t>
    </rPh>
    <rPh sb="8" eb="10">
      <t>イガイ</t>
    </rPh>
    <rPh sb="11" eb="13">
      <t>ショトク</t>
    </rPh>
    <phoneticPr fontId="1"/>
  </si>
  <si>
    <t>円)</t>
    <rPh sb="0" eb="1">
      <t>エン</t>
    </rPh>
    <phoneticPr fontId="1"/>
  </si>
  <si>
    <t>(賦課限度額</t>
    <rPh sb="1" eb="3">
      <t>フカ</t>
    </rPh>
    <rPh sb="3" eb="6">
      <t>ゲンドガク</t>
    </rPh>
    <phoneticPr fontId="1"/>
  </si>
  <si>
    <t xml:space="preserve">  税額（賦課限度額を上限）A</t>
    <phoneticPr fontId="1"/>
  </si>
  <si>
    <t>合　計</t>
    <rPh sb="0" eb="1">
      <t>ゴウ</t>
    </rPh>
    <rPh sb="2" eb="3">
      <t>ケイ</t>
    </rPh>
    <phoneticPr fontId="1"/>
  </si>
  <si>
    <t xml:space="preserve">  税額（賦課限度額を上限）B</t>
    <phoneticPr fontId="1"/>
  </si>
  <si>
    <t xml:space="preserve">  税額（賦課限度額を上限）C</t>
    <phoneticPr fontId="1"/>
  </si>
  <si>
    <t>　1月当たりの保険税額（年額÷12）</t>
    <rPh sb="2" eb="4">
      <t>ゲツア</t>
    </rPh>
    <rPh sb="7" eb="9">
      <t>ホケン</t>
    </rPh>
    <rPh sb="9" eb="10">
      <t>ゼイ</t>
    </rPh>
    <rPh sb="10" eb="11">
      <t>ガク</t>
    </rPh>
    <rPh sb="12" eb="14">
      <t>ネンガク</t>
    </rPh>
    <phoneticPr fontId="1"/>
  </si>
  <si>
    <t>円</t>
    <rPh sb="0" eb="1">
      <t>エン</t>
    </rPh>
    <phoneticPr fontId="1"/>
  </si>
  <si>
    <t>第1期</t>
    <rPh sb="0" eb="1">
      <t>ダイ</t>
    </rPh>
    <rPh sb="2" eb="3">
      <t>キ</t>
    </rPh>
    <phoneticPr fontId="1"/>
  </si>
  <si>
    <t>第2期～第8期</t>
    <rPh sb="0" eb="1">
      <t>ダイ</t>
    </rPh>
    <rPh sb="2" eb="3">
      <t>キ</t>
    </rPh>
    <rPh sb="4" eb="5">
      <t>ダイ</t>
    </rPh>
    <rPh sb="6" eb="7">
      <t>キ</t>
    </rPh>
    <phoneticPr fontId="1"/>
  </si>
  <si>
    <t>限度額</t>
    <rPh sb="0" eb="3">
      <t>ゲンドガク</t>
    </rPh>
    <phoneticPr fontId="1"/>
  </si>
  <si>
    <t>　　試算にあたっての注意事項</t>
    <rPh sb="2" eb="4">
      <t>シサン</t>
    </rPh>
    <rPh sb="10" eb="14">
      <t>チュウイジコウ</t>
    </rPh>
    <phoneticPr fontId="1"/>
  </si>
  <si>
    <t>　　ただし、加入者が未申告の場合は軽減制度を受けることができません。</t>
    <rPh sb="6" eb="9">
      <t>カニュウシャ</t>
    </rPh>
    <rPh sb="10" eb="11">
      <t>ミ</t>
    </rPh>
    <rPh sb="11" eb="13">
      <t>シンコク</t>
    </rPh>
    <rPh sb="14" eb="16">
      <t>バアイ</t>
    </rPh>
    <rPh sb="17" eb="21">
      <t>ケイゲンセイド</t>
    </rPh>
    <rPh sb="22" eb="23">
      <t>ウ</t>
    </rPh>
    <phoneticPr fontId="1"/>
  </si>
  <si>
    <t>　○　試算結果は概算であり、実際の保険税とは異なる場合がありますので、目安としてご利用ください。</t>
    <rPh sb="3" eb="7">
      <t>シサンケッカ</t>
    </rPh>
    <rPh sb="8" eb="10">
      <t>ガイサン</t>
    </rPh>
    <rPh sb="14" eb="16">
      <t>ジッサイ</t>
    </rPh>
    <rPh sb="17" eb="19">
      <t>ホケン</t>
    </rPh>
    <rPh sb="19" eb="20">
      <t>ゼイ</t>
    </rPh>
    <rPh sb="22" eb="23">
      <t>コト</t>
    </rPh>
    <rPh sb="25" eb="27">
      <t>バアイ</t>
    </rPh>
    <rPh sb="35" eb="37">
      <t>メヤス</t>
    </rPh>
    <rPh sb="41" eb="43">
      <t>リヨウ</t>
    </rPh>
    <phoneticPr fontId="1"/>
  </si>
  <si>
    <t>軽減判定(給与30％)</t>
    <rPh sb="0" eb="4">
      <t>ケイゲンハンテイ</t>
    </rPh>
    <rPh sb="5" eb="7">
      <t>キュウヨ</t>
    </rPh>
    <phoneticPr fontId="1"/>
  </si>
  <si>
    <t>　※　世帯主と加入者の所得の合計が一定基準以下の場合は、均等割と平等割が軽減されます。</t>
    <rPh sb="3" eb="6">
      <t>セタイヌシ</t>
    </rPh>
    <rPh sb="7" eb="10">
      <t>カニュウシャ</t>
    </rPh>
    <rPh sb="11" eb="13">
      <t>ショトク</t>
    </rPh>
    <rPh sb="14" eb="16">
      <t>ゴウケイ</t>
    </rPh>
    <rPh sb="17" eb="21">
      <t>イッテイキジュン</t>
    </rPh>
    <rPh sb="21" eb="23">
      <t>イカ</t>
    </rPh>
    <rPh sb="24" eb="26">
      <t>バアイ</t>
    </rPh>
    <rPh sb="28" eb="31">
      <t>キントウワ</t>
    </rPh>
    <rPh sb="32" eb="35">
      <t>ビョウドウワリ</t>
    </rPh>
    <rPh sb="36" eb="38">
      <t>ケイゲン</t>
    </rPh>
    <phoneticPr fontId="1"/>
  </si>
  <si>
    <t>円</t>
    <rPh sb="0" eb="1">
      <t>エン</t>
    </rPh>
    <phoneticPr fontId="1"/>
  </si>
  <si>
    <t>入力日</t>
    <rPh sb="0" eb="2">
      <t>ニュウリョク</t>
    </rPh>
    <rPh sb="2" eb="3">
      <t>ヒ</t>
    </rPh>
    <phoneticPr fontId="1"/>
  </si>
  <si>
    <t>※土地と家屋にかかる部分の金額を入力</t>
    <rPh sb="13" eb="15">
      <t>キンガク</t>
    </rPh>
    <rPh sb="16" eb="18">
      <t>ニュウリョク</t>
    </rPh>
    <phoneticPr fontId="1"/>
  </si>
  <si>
    <t>65歳以上</t>
    <phoneticPr fontId="1"/>
  </si>
  <si>
    <t>未就学児</t>
    <phoneticPr fontId="1"/>
  </si>
  <si>
    <t>　　　※　該当しない場合は入力の必要はありません。</t>
    <rPh sb="5" eb="7">
      <t>ガイトウ</t>
    </rPh>
    <rPh sb="10" eb="12">
      <t>バアイ</t>
    </rPh>
    <rPh sb="13" eb="15">
      <t>ニュウリョク</t>
    </rPh>
    <rPh sb="16" eb="18">
      <t>ヒツヨウ</t>
    </rPh>
    <phoneticPr fontId="1"/>
  </si>
  <si>
    <t>　　　※　国保未加入の場合は入力の必要はありません。</t>
    <rPh sb="5" eb="7">
      <t>コクホ</t>
    </rPh>
    <rPh sb="7" eb="10">
      <t>ミカニュウ</t>
    </rPh>
    <rPh sb="11" eb="13">
      <t>バアイ</t>
    </rPh>
    <rPh sb="14" eb="16">
      <t>ニュウリョク</t>
    </rPh>
    <rPh sb="17" eb="19">
      <t>ヒツヨウ</t>
    </rPh>
    <phoneticPr fontId="1"/>
  </si>
  <si>
    <t>　○　次のような場合は、正しく試算できない場合があります。</t>
    <rPh sb="3" eb="4">
      <t>ツギ</t>
    </rPh>
    <rPh sb="8" eb="10">
      <t>バアイ</t>
    </rPh>
    <rPh sb="12" eb="13">
      <t>タダ</t>
    </rPh>
    <rPh sb="15" eb="17">
      <t>シサン</t>
    </rPh>
    <rPh sb="21" eb="23">
      <t>バアイ</t>
    </rPh>
    <phoneticPr fontId="1"/>
  </si>
  <si>
    <t>　　・年度（４月から翌年３月）途中で加入や脱退または40歳、65歳、75歳になる人がいる場合</t>
    <rPh sb="7" eb="8">
      <t>ガツ</t>
    </rPh>
    <rPh sb="10" eb="12">
      <t>ヨクネン</t>
    </rPh>
    <rPh sb="13" eb="14">
      <t>ガツ</t>
    </rPh>
    <phoneticPr fontId="1"/>
  </si>
  <si>
    <t>　　・世帯に国民健康保険から後期高齢者医療制度へ移行した人がいる場合</t>
    <rPh sb="3" eb="5">
      <t>セタイ</t>
    </rPh>
    <rPh sb="6" eb="12">
      <t>コクミンケンコウホケン</t>
    </rPh>
    <rPh sb="14" eb="21">
      <t>コウキコウレイシャイリョウ</t>
    </rPh>
    <rPh sb="21" eb="23">
      <t>セイド</t>
    </rPh>
    <rPh sb="24" eb="26">
      <t>イコウ</t>
    </rPh>
    <rPh sb="28" eb="29">
      <t>ヒト</t>
    </rPh>
    <rPh sb="32" eb="34">
      <t>バアイ</t>
    </rPh>
    <phoneticPr fontId="1"/>
  </si>
  <si>
    <t>　　　（所得が無い場合でも未申告の場合は軽減制度が適用されません）</t>
    <rPh sb="25" eb="27">
      <t>テキヨウ</t>
    </rPh>
    <phoneticPr fontId="1"/>
  </si>
  <si>
    <t>　　・専従者給与または専従者控除がある人がいる場合</t>
    <rPh sb="3" eb="8">
      <t>センジュウシャキュウヨ</t>
    </rPh>
    <rPh sb="11" eb="14">
      <t>センジュウシャ</t>
    </rPh>
    <rPh sb="14" eb="16">
      <t>コウジョ</t>
    </rPh>
    <rPh sb="19" eb="20">
      <t>ヒト</t>
    </rPh>
    <rPh sb="23" eb="25">
      <t>バアイ</t>
    </rPh>
    <phoneticPr fontId="1"/>
  </si>
  <si>
    <t>　　・繰越損失がある人がいる場合</t>
    <rPh sb="3" eb="5">
      <t>クリコシ</t>
    </rPh>
    <rPh sb="5" eb="7">
      <t>ソンシツ</t>
    </rPh>
    <rPh sb="10" eb="11">
      <t>ヒト</t>
    </rPh>
    <rPh sb="14" eb="16">
      <t>バアイ</t>
    </rPh>
    <phoneticPr fontId="1"/>
  </si>
  <si>
    <t>　　・入力された内容に誤りや漏れがある場合</t>
    <rPh sb="3" eb="5">
      <t>ニュウリョク</t>
    </rPh>
    <rPh sb="8" eb="10">
      <t>ナイヨウ</t>
    </rPh>
    <rPh sb="11" eb="12">
      <t>アヤマ</t>
    </rPh>
    <rPh sb="14" eb="15">
      <t>モ</t>
    </rPh>
    <rPh sb="19" eb="21">
      <t>バアイ</t>
    </rPh>
    <phoneticPr fontId="1"/>
  </si>
  <si>
    <t>　○　この試算表は、会社都合による退職などの非自発的失業者に係る保険税の軽減制度に対応していますが、実際に軽減が適用されるには、</t>
    <rPh sb="5" eb="8">
      <t>シサンヒョウ</t>
    </rPh>
    <rPh sb="10" eb="12">
      <t>カイシャ</t>
    </rPh>
    <rPh sb="12" eb="14">
      <t>ツゴウ</t>
    </rPh>
    <rPh sb="17" eb="19">
      <t>タイショク</t>
    </rPh>
    <rPh sb="22" eb="23">
      <t>ヒ</t>
    </rPh>
    <rPh sb="23" eb="25">
      <t>ジハツ</t>
    </rPh>
    <rPh sb="25" eb="26">
      <t>テキ</t>
    </rPh>
    <rPh sb="26" eb="29">
      <t>シツギョウシャ</t>
    </rPh>
    <rPh sb="30" eb="31">
      <t>カカ</t>
    </rPh>
    <rPh sb="32" eb="34">
      <t>ホケン</t>
    </rPh>
    <rPh sb="34" eb="35">
      <t>ゼイ</t>
    </rPh>
    <rPh sb="35" eb="36">
      <t>ホゼイ</t>
    </rPh>
    <rPh sb="36" eb="38">
      <t>ケイゲン</t>
    </rPh>
    <rPh sb="38" eb="40">
      <t>セイド</t>
    </rPh>
    <rPh sb="41" eb="43">
      <t>タイオウ</t>
    </rPh>
    <phoneticPr fontId="1"/>
  </si>
  <si>
    <t>　１　世帯主の加入状況、収入所得情報等の入力（国保に加入しない世帯主の方も入力してください。）</t>
    <rPh sb="3" eb="6">
      <t>セタイヌシ</t>
    </rPh>
    <rPh sb="7" eb="9">
      <t>カニュウ</t>
    </rPh>
    <rPh sb="9" eb="11">
      <t>ジョウキョウ</t>
    </rPh>
    <rPh sb="12" eb="14">
      <t>シュウニュウ</t>
    </rPh>
    <rPh sb="14" eb="16">
      <t>ショトク</t>
    </rPh>
    <rPh sb="16" eb="18">
      <t>ジョウホウ</t>
    </rPh>
    <rPh sb="18" eb="19">
      <t>トウ</t>
    </rPh>
    <rPh sb="20" eb="22">
      <t>ニュウリョク</t>
    </rPh>
    <rPh sb="23" eb="25">
      <t>コクホ</t>
    </rPh>
    <rPh sb="26" eb="28">
      <t>カニュウ</t>
    </rPh>
    <rPh sb="31" eb="34">
      <t>セタイヌシ</t>
    </rPh>
    <rPh sb="35" eb="36">
      <t>カタ</t>
    </rPh>
    <rPh sb="37" eb="39">
      <t>ニュウリョク</t>
    </rPh>
    <phoneticPr fontId="1"/>
  </si>
  <si>
    <t>　 (1) 「加入状況」欄の右端に表示される▼をクリックし、該当する国保加入状況を選択してください。</t>
    <rPh sb="7" eb="11">
      <t>カニュウジョウキョウ</t>
    </rPh>
    <rPh sb="12" eb="13">
      <t>ラン</t>
    </rPh>
    <rPh sb="14" eb="16">
      <t>ミギハシ</t>
    </rPh>
    <rPh sb="17" eb="19">
      <t>ヒョウジ</t>
    </rPh>
    <rPh sb="30" eb="32">
      <t>ガイトウ</t>
    </rPh>
    <rPh sb="34" eb="36">
      <t>コクホ</t>
    </rPh>
    <rPh sb="36" eb="38">
      <t>カニュウ</t>
    </rPh>
    <rPh sb="38" eb="40">
      <t>ジョウキョウ</t>
    </rPh>
    <rPh sb="41" eb="43">
      <t>センタク</t>
    </rPh>
    <phoneticPr fontId="1"/>
  </si>
  <si>
    <t>　 (2) 「生年月日」欄に世帯主の生年月日を入力してください。</t>
    <rPh sb="7" eb="11">
      <t>セイネンガッピ</t>
    </rPh>
    <rPh sb="12" eb="13">
      <t>ラン</t>
    </rPh>
    <rPh sb="14" eb="17">
      <t>セタイヌシ</t>
    </rPh>
    <rPh sb="18" eb="22">
      <t>セイネンガッピ</t>
    </rPh>
    <rPh sb="23" eb="25">
      <t>ニュウリョク</t>
    </rPh>
    <phoneticPr fontId="1"/>
  </si>
  <si>
    <r>
      <t>　 (3) 「給与収入」欄に世帯主の給与収入がある場合は</t>
    </r>
    <r>
      <rPr>
        <b/>
        <sz val="11"/>
        <color theme="1"/>
        <rFont val="ＭＳ ゴシック"/>
        <family val="3"/>
        <charset val="128"/>
      </rPr>
      <t>収入金額</t>
    </r>
    <r>
      <rPr>
        <sz val="11"/>
        <color theme="1"/>
        <rFont val="ＭＳ ゴシック"/>
        <family val="3"/>
        <charset val="128"/>
      </rPr>
      <t>を、無い場合は</t>
    </r>
    <r>
      <rPr>
        <b/>
        <sz val="11"/>
        <color theme="1"/>
        <rFont val="ＭＳ ゴシック"/>
        <family val="3"/>
        <charset val="128"/>
      </rPr>
      <t>0</t>
    </r>
    <r>
      <rPr>
        <sz val="11"/>
        <color theme="1"/>
        <rFont val="ＭＳ ゴシック"/>
        <family val="3"/>
        <charset val="128"/>
      </rPr>
      <t>を入力してください。</t>
    </r>
    <rPh sb="7" eb="11">
      <t>キュウヨシュウニュウ</t>
    </rPh>
    <rPh sb="12" eb="13">
      <t>ラン</t>
    </rPh>
    <rPh sb="14" eb="17">
      <t>セタイヌシ</t>
    </rPh>
    <rPh sb="18" eb="22">
      <t>キュウヨシュウニュウ</t>
    </rPh>
    <rPh sb="25" eb="27">
      <t>バアイ</t>
    </rPh>
    <rPh sb="28" eb="30">
      <t>シュウニュウ</t>
    </rPh>
    <rPh sb="30" eb="32">
      <t>キンガク</t>
    </rPh>
    <rPh sb="34" eb="35">
      <t>ナ</t>
    </rPh>
    <rPh sb="36" eb="38">
      <t>バアイ</t>
    </rPh>
    <rPh sb="41" eb="43">
      <t>ニュウリョク</t>
    </rPh>
    <phoneticPr fontId="1"/>
  </si>
  <si>
    <t>　 (4) 「所得金額調整控除」欄は給与収入が850万円を超える場合に欄の右端に表示される▼をクリックし、該当する項目を選択してください。</t>
    <rPh sb="7" eb="9">
      <t>ショトク</t>
    </rPh>
    <rPh sb="9" eb="11">
      <t>キンガク</t>
    </rPh>
    <rPh sb="11" eb="13">
      <t>チョウセイ</t>
    </rPh>
    <rPh sb="13" eb="15">
      <t>コウジョ</t>
    </rPh>
    <rPh sb="16" eb="17">
      <t>ラン</t>
    </rPh>
    <rPh sb="18" eb="20">
      <t>キュウヨ</t>
    </rPh>
    <rPh sb="20" eb="22">
      <t>シュウニュウ</t>
    </rPh>
    <rPh sb="26" eb="28">
      <t>マンエン</t>
    </rPh>
    <rPh sb="29" eb="30">
      <t>コ</t>
    </rPh>
    <rPh sb="32" eb="34">
      <t>バアイ</t>
    </rPh>
    <rPh sb="35" eb="36">
      <t>ラン</t>
    </rPh>
    <rPh sb="37" eb="39">
      <t>ミギハシ</t>
    </rPh>
    <rPh sb="40" eb="42">
      <t>ヒョウジ</t>
    </rPh>
    <rPh sb="53" eb="55">
      <t>ガイトウ</t>
    </rPh>
    <rPh sb="57" eb="59">
      <t>コウモク</t>
    </rPh>
    <rPh sb="60" eb="62">
      <t>センタク</t>
    </rPh>
    <phoneticPr fontId="1"/>
  </si>
  <si>
    <t>　 (5) 「退職理由」欄は会社都合による場合に欄の右端に表示される▼をクリックし、「会社都合」を選択してください。</t>
    <rPh sb="7" eb="11">
      <t>タイショクリユウ</t>
    </rPh>
    <rPh sb="12" eb="13">
      <t>ラン</t>
    </rPh>
    <rPh sb="14" eb="18">
      <t>カイシャツゴウ</t>
    </rPh>
    <rPh sb="21" eb="23">
      <t>バアイ</t>
    </rPh>
    <rPh sb="43" eb="47">
      <t>カイシャツゴウ</t>
    </rPh>
    <phoneticPr fontId="1"/>
  </si>
  <si>
    <r>
      <t>　 (6) 「公的年金等の収入」欄に世帯主の公的年金等収入がある場合は</t>
    </r>
    <r>
      <rPr>
        <b/>
        <sz val="11"/>
        <color theme="1"/>
        <rFont val="ＭＳ ゴシック"/>
        <family val="3"/>
        <charset val="128"/>
      </rPr>
      <t>収入金額</t>
    </r>
    <r>
      <rPr>
        <sz val="11"/>
        <color theme="1"/>
        <rFont val="ＭＳ ゴシック"/>
        <family val="3"/>
        <charset val="128"/>
      </rPr>
      <t>を、無い場合は</t>
    </r>
    <r>
      <rPr>
        <b/>
        <sz val="11"/>
        <color theme="1"/>
        <rFont val="ＭＳ ゴシック"/>
        <family val="3"/>
        <charset val="128"/>
      </rPr>
      <t>0</t>
    </r>
    <r>
      <rPr>
        <sz val="11"/>
        <color theme="1"/>
        <rFont val="ＭＳ ゴシック"/>
        <family val="3"/>
        <charset val="128"/>
      </rPr>
      <t>を入力してください。</t>
    </r>
    <rPh sb="7" eb="9">
      <t>コウテキ</t>
    </rPh>
    <rPh sb="9" eb="11">
      <t>ネンキン</t>
    </rPh>
    <rPh sb="11" eb="12">
      <t>トウ</t>
    </rPh>
    <rPh sb="13" eb="15">
      <t>シュウニュウ</t>
    </rPh>
    <rPh sb="16" eb="17">
      <t>ラン</t>
    </rPh>
    <rPh sb="22" eb="26">
      <t>コウテキネンキン</t>
    </rPh>
    <rPh sb="26" eb="27">
      <t>トウ</t>
    </rPh>
    <rPh sb="35" eb="37">
      <t>シュウニュウ</t>
    </rPh>
    <phoneticPr fontId="1"/>
  </si>
  <si>
    <r>
      <t>　 (8) 「固定資産税情報」欄に世帯主が国保加入の場合で土地家屋にかかる部分の税額がある場合は</t>
    </r>
    <r>
      <rPr>
        <b/>
        <sz val="11"/>
        <color theme="1"/>
        <rFont val="ＭＳ ゴシック"/>
        <family val="3"/>
        <charset val="128"/>
      </rPr>
      <t>固定資産税額</t>
    </r>
    <r>
      <rPr>
        <sz val="11"/>
        <color theme="1"/>
        <rFont val="ＭＳ ゴシック"/>
        <family val="3"/>
        <charset val="128"/>
      </rPr>
      <t>を、無い場合は</t>
    </r>
    <r>
      <rPr>
        <b/>
        <sz val="11"/>
        <color theme="1"/>
        <rFont val="ＭＳ ゴシック"/>
        <family val="3"/>
        <charset val="128"/>
      </rPr>
      <t>0</t>
    </r>
    <r>
      <rPr>
        <sz val="11"/>
        <color theme="1"/>
        <rFont val="ＭＳ ゴシック"/>
        <family val="3"/>
        <charset val="128"/>
      </rPr>
      <t>を入力してください。</t>
    </r>
    <rPh sb="7" eb="14">
      <t>コテイシサンゼイジョウホウ</t>
    </rPh>
    <rPh sb="15" eb="16">
      <t>ラン</t>
    </rPh>
    <rPh sb="21" eb="25">
      <t>コクホカニュウ</t>
    </rPh>
    <rPh sb="26" eb="28">
      <t>バアイ</t>
    </rPh>
    <rPh sb="29" eb="31">
      <t>トチ</t>
    </rPh>
    <rPh sb="31" eb="33">
      <t>カオク</t>
    </rPh>
    <rPh sb="37" eb="39">
      <t>ブブン</t>
    </rPh>
    <rPh sb="40" eb="42">
      <t>ゼイガク</t>
    </rPh>
    <rPh sb="48" eb="53">
      <t>コテイシサンゼイ</t>
    </rPh>
    <phoneticPr fontId="1"/>
  </si>
  <si>
    <t>　　①　離職時の年齢が65歳未満</t>
    <phoneticPr fontId="1"/>
  </si>
  <si>
    <r>
      <t>　 (7) 「その他の所得」欄に世帯主の給与、公的年金等以外の所得がある場合は</t>
    </r>
    <r>
      <rPr>
        <b/>
        <sz val="11"/>
        <color theme="1"/>
        <rFont val="ＭＳ ゴシック"/>
        <family val="3"/>
        <charset val="128"/>
      </rPr>
      <t>所得金額</t>
    </r>
    <r>
      <rPr>
        <sz val="11"/>
        <color theme="1"/>
        <rFont val="ＭＳ ゴシック"/>
        <family val="3"/>
        <charset val="128"/>
      </rPr>
      <t>を、無い場合は</t>
    </r>
    <r>
      <rPr>
        <b/>
        <sz val="11"/>
        <color theme="1"/>
        <rFont val="ＭＳ ゴシック"/>
        <family val="3"/>
        <charset val="128"/>
      </rPr>
      <t>0</t>
    </r>
    <r>
      <rPr>
        <sz val="11"/>
        <color theme="1"/>
        <rFont val="ＭＳ ゴシック"/>
        <family val="3"/>
        <charset val="128"/>
      </rPr>
      <t>を入力してください。</t>
    </r>
    <rPh sb="9" eb="10">
      <t>タ</t>
    </rPh>
    <rPh sb="11" eb="13">
      <t>ショトク</t>
    </rPh>
    <rPh sb="14" eb="15">
      <t>ラン</t>
    </rPh>
    <rPh sb="20" eb="22">
      <t>キュウヨ</t>
    </rPh>
    <rPh sb="23" eb="27">
      <t>コウテキネンキン</t>
    </rPh>
    <rPh sb="27" eb="28">
      <t>トウ</t>
    </rPh>
    <rPh sb="28" eb="30">
      <t>イガイ</t>
    </rPh>
    <rPh sb="31" eb="33">
      <t>ショトク</t>
    </rPh>
    <rPh sb="39" eb="41">
      <t>ショトク</t>
    </rPh>
    <phoneticPr fontId="1"/>
  </si>
  <si>
    <r>
      <t xml:space="preserve">　　　　　試算にあたっての注意事項　 </t>
    </r>
    <r>
      <rPr>
        <sz val="11"/>
        <color theme="1"/>
        <rFont val="ＭＳ Ｐゴシック"/>
        <family val="3"/>
        <charset val="128"/>
        <scheme val="minor"/>
      </rPr>
      <t>※ご利用の際は、次の事項をご確認いただき、同意の上ご利用ください。</t>
    </r>
    <rPh sb="21" eb="23">
      <t>リヨウ</t>
    </rPh>
    <rPh sb="24" eb="25">
      <t>サイ</t>
    </rPh>
    <rPh sb="27" eb="28">
      <t>ツギ</t>
    </rPh>
    <rPh sb="29" eb="31">
      <t>ジコウ</t>
    </rPh>
    <rPh sb="33" eb="35">
      <t>カクニン</t>
    </rPh>
    <rPh sb="40" eb="42">
      <t>ドウイ</t>
    </rPh>
    <rPh sb="43" eb="44">
      <t>ウエ</t>
    </rPh>
    <rPh sb="45" eb="47">
      <t>リヨウ</t>
    </rPh>
    <phoneticPr fontId="1"/>
  </si>
  <si>
    <r>
      <rPr>
        <b/>
        <sz val="12"/>
        <color theme="1"/>
        <rFont val="ＭＳ Ｐゴシック"/>
        <family val="3"/>
        <charset val="128"/>
      </rPr>
      <t xml:space="preserve">　　　　　入力手順　 </t>
    </r>
    <r>
      <rPr>
        <sz val="11"/>
        <color theme="1"/>
        <rFont val="ＭＳ Ｐゴシック"/>
        <family val="3"/>
        <charset val="128"/>
      </rPr>
      <t>※世帯人数が６人までの試算ができます。</t>
    </r>
    <rPh sb="5" eb="7">
      <t>ニュウリョク</t>
    </rPh>
    <rPh sb="7" eb="9">
      <t>テジュン</t>
    </rPh>
    <rPh sb="12" eb="15">
      <t>セタイニン</t>
    </rPh>
    <rPh sb="15" eb="16">
      <t>スウ</t>
    </rPh>
    <rPh sb="18" eb="19">
      <t>ニン</t>
    </rPh>
    <rPh sb="22" eb="24">
      <t>シサン</t>
    </rPh>
    <phoneticPr fontId="1"/>
  </si>
  <si>
    <r>
      <t>　　　　　入力する場合の資料等 　</t>
    </r>
    <r>
      <rPr>
        <sz val="11"/>
        <color theme="1"/>
        <rFont val="ＭＳ Ｐゴシック"/>
        <family val="3"/>
        <charset val="128"/>
        <scheme val="minor"/>
      </rPr>
      <t>（入力する際の参考にしてください。）</t>
    </r>
    <rPh sb="5" eb="7">
      <t>ニュウリョク</t>
    </rPh>
    <rPh sb="9" eb="11">
      <t>バアイ</t>
    </rPh>
    <rPh sb="12" eb="15">
      <t>シリョウトウ</t>
    </rPh>
    <rPh sb="18" eb="20">
      <t>ニュウリョク</t>
    </rPh>
    <rPh sb="22" eb="23">
      <t>サイ</t>
    </rPh>
    <rPh sb="24" eb="26">
      <t>サンコウ</t>
    </rPh>
    <phoneticPr fontId="1"/>
  </si>
  <si>
    <t>　２　世帯員１から世帯員５の加入状況、収入所得等の情報の入力（国保に加入する人の情報を入力してください。）</t>
    <rPh sb="3" eb="6">
      <t>セタイイン</t>
    </rPh>
    <rPh sb="9" eb="12">
      <t>セタイイン</t>
    </rPh>
    <rPh sb="14" eb="16">
      <t>カニュウ</t>
    </rPh>
    <rPh sb="16" eb="18">
      <t>ジョウキョウ</t>
    </rPh>
    <rPh sb="19" eb="21">
      <t>シュウニュウ</t>
    </rPh>
    <rPh sb="21" eb="23">
      <t>ショトク</t>
    </rPh>
    <rPh sb="23" eb="24">
      <t>トウ</t>
    </rPh>
    <rPh sb="25" eb="27">
      <t>ジョウホウ</t>
    </rPh>
    <rPh sb="28" eb="30">
      <t>ニュウリョク</t>
    </rPh>
    <rPh sb="31" eb="33">
      <t>コクホ</t>
    </rPh>
    <rPh sb="34" eb="36">
      <t>カニュウ</t>
    </rPh>
    <rPh sb="38" eb="39">
      <t>ヒト</t>
    </rPh>
    <rPh sb="40" eb="42">
      <t>ジョウホウ</t>
    </rPh>
    <rPh sb="43" eb="45">
      <t>ニュウリョク</t>
    </rPh>
    <phoneticPr fontId="1"/>
  </si>
  <si>
    <t>　　　※　国保に加入しない人の情報は入力しないでください。</t>
    <rPh sb="5" eb="7">
      <t>コクホ</t>
    </rPh>
    <rPh sb="8" eb="10">
      <t>カニュウ</t>
    </rPh>
    <rPh sb="13" eb="14">
      <t>ヒト</t>
    </rPh>
    <rPh sb="15" eb="17">
      <t>ジョウホウ</t>
    </rPh>
    <rPh sb="18" eb="20">
      <t>ニュウリョク</t>
    </rPh>
    <phoneticPr fontId="1"/>
  </si>
  <si>
    <t>　　　国保に加入する世帯員それぞれの情報を世帯主の入力(1)から(8)に準じて入力してください。</t>
    <rPh sb="3" eb="5">
      <t>コクホ</t>
    </rPh>
    <rPh sb="6" eb="8">
      <t>カニュウ</t>
    </rPh>
    <rPh sb="10" eb="12">
      <t>セタイ</t>
    </rPh>
    <rPh sb="12" eb="13">
      <t>イン</t>
    </rPh>
    <rPh sb="18" eb="20">
      <t>ジョウホウ</t>
    </rPh>
    <rPh sb="21" eb="24">
      <t>セタイヌシ</t>
    </rPh>
    <rPh sb="25" eb="27">
      <t>ニュウリョク</t>
    </rPh>
    <rPh sb="36" eb="37">
      <t>ジュン</t>
    </rPh>
    <rPh sb="39" eb="41">
      <t>ニュウリョク</t>
    </rPh>
    <phoneticPr fontId="1"/>
  </si>
  <si>
    <t>　注）入力漏れがある場合は、セルの背景が赤色になりますので、入力漏れがないようにしてください。</t>
    <rPh sb="1" eb="2">
      <t>チュウ</t>
    </rPh>
    <rPh sb="3" eb="6">
      <t>ニュウリョクモ</t>
    </rPh>
    <rPh sb="10" eb="12">
      <t>バアイ</t>
    </rPh>
    <rPh sb="17" eb="19">
      <t>ハイケイ</t>
    </rPh>
    <rPh sb="20" eb="22">
      <t>アカイロ</t>
    </rPh>
    <rPh sb="30" eb="33">
      <t>ニュウリョクモ</t>
    </rPh>
    <phoneticPr fontId="1"/>
  </si>
  <si>
    <t>　○　試算結果は概算であり、実際の保険税とは異なる場合がありますので、目安としてご利用ください。</t>
    <phoneticPr fontId="1"/>
  </si>
  <si>
    <t>　○　この試算表は、年度途中での加入や脱退、40歳、65歳、75歳になる人がいる場合などは対応しておりません。別シート【注意事項等】をご確認ください。</t>
    <phoneticPr fontId="1"/>
  </si>
  <si>
    <r>
      <t>　○　『給与収入』、『公的年金等の収入』、『その他の所得』、『固定資産税情報』の欄で、該当がない場合は「</t>
    </r>
    <r>
      <rPr>
        <b/>
        <sz val="11"/>
        <color theme="1"/>
        <rFont val="ＭＳ ゴシック"/>
        <family val="3"/>
        <charset val="128"/>
      </rPr>
      <t>0</t>
    </r>
    <r>
      <rPr>
        <sz val="11"/>
        <color theme="1"/>
        <rFont val="ＭＳ ゴシック"/>
        <family val="3"/>
        <charset val="128"/>
      </rPr>
      <t>」を入力してください。</t>
    </r>
    <phoneticPr fontId="1"/>
  </si>
  <si>
    <t>　※ 三股町では、1年分の保険税を7月から翌年2月までの8回（8期）で納めていただくことになります。</t>
    <rPh sb="3" eb="6">
      <t>ミマタチョウ</t>
    </rPh>
    <rPh sb="10" eb="12">
      <t>ネンブン</t>
    </rPh>
    <rPh sb="13" eb="15">
      <t>ホケン</t>
    </rPh>
    <rPh sb="15" eb="16">
      <t>ゼイ</t>
    </rPh>
    <rPh sb="18" eb="19">
      <t>ガツ</t>
    </rPh>
    <rPh sb="21" eb="23">
      <t>ヨクネン</t>
    </rPh>
    <rPh sb="24" eb="25">
      <t>ガツ</t>
    </rPh>
    <rPh sb="29" eb="30">
      <t>カイ</t>
    </rPh>
    <rPh sb="32" eb="33">
      <t>キ</t>
    </rPh>
    <rPh sb="35" eb="36">
      <t>オサ</t>
    </rPh>
    <phoneticPr fontId="1"/>
  </si>
  <si>
    <t>（ 7月 ）</t>
    <rPh sb="3" eb="4">
      <t>ツキ</t>
    </rPh>
    <phoneticPr fontId="1"/>
  </si>
  <si>
    <t>（ 8月 ～ 2月 ）</t>
    <rPh sb="3" eb="4">
      <t>ガツ</t>
    </rPh>
    <rPh sb="8" eb="9">
      <t>ガツ</t>
    </rPh>
    <phoneticPr fontId="1"/>
  </si>
  <si>
    <t>　1期当たりの保険税額（年額÷８）
 　　※　普通徴収の場合</t>
    <rPh sb="2" eb="3">
      <t>キ</t>
    </rPh>
    <rPh sb="3" eb="4">
      <t>ア</t>
    </rPh>
    <rPh sb="7" eb="9">
      <t>ホケン</t>
    </rPh>
    <rPh sb="9" eb="10">
      <t>ゼイ</t>
    </rPh>
    <rPh sb="10" eb="11">
      <t>ガク</t>
    </rPh>
    <rPh sb="12" eb="14">
      <t>ネンガク</t>
    </rPh>
    <rPh sb="23" eb="27">
      <t>フツウチョウシュウ</t>
    </rPh>
    <rPh sb="28" eb="30">
      <t>バアイ</t>
    </rPh>
    <phoneticPr fontId="1"/>
  </si>
  <si>
    <t>　　②　雇用保険受給資格者証に記載されている離職理由コードが「11、12、21、22、23、31、32、33、34」のいずれかに該当するなどの</t>
    <phoneticPr fontId="1"/>
  </si>
  <si>
    <t>　　条件があり、その旨届出する必要があります。</t>
    <phoneticPr fontId="1"/>
  </si>
  <si>
    <t>R7</t>
    <phoneticPr fontId="1"/>
  </si>
  <si>
    <t>子ども・子育て支援金分</t>
    <rPh sb="0" eb="1">
      <t>コ</t>
    </rPh>
    <rPh sb="4" eb="6">
      <t>コソダ</t>
    </rPh>
    <rPh sb="7" eb="9">
      <t>シエン</t>
    </rPh>
    <rPh sb="9" eb="10">
      <t>キン</t>
    </rPh>
    <rPh sb="10" eb="11">
      <t>ブン</t>
    </rPh>
    <phoneticPr fontId="1"/>
  </si>
  <si>
    <t xml:space="preserve">  税額（賦課限度額を上限）D</t>
    <phoneticPr fontId="1"/>
  </si>
  <si>
    <t>R8</t>
    <phoneticPr fontId="1"/>
  </si>
  <si>
    <t>　　・前年の収入が無い方で前年中の申告がお済みでない場合</t>
    <rPh sb="3" eb="5">
      <t>ゼンネン</t>
    </rPh>
    <rPh sb="6" eb="8">
      <t>シュウニュウ</t>
    </rPh>
    <rPh sb="9" eb="10">
      <t>ナ</t>
    </rPh>
    <rPh sb="11" eb="12">
      <t>カタ</t>
    </rPh>
    <rPh sb="13" eb="16">
      <t>ゼンネンチュウ</t>
    </rPh>
    <rPh sb="17" eb="19">
      <t>シンコク</t>
    </rPh>
    <rPh sb="21" eb="22">
      <t>スミ</t>
    </rPh>
    <rPh sb="26" eb="28">
      <t>バアイ</t>
    </rPh>
    <phoneticPr fontId="1"/>
  </si>
  <si>
    <t>　保険税概算額（年額 A+B+C+D）</t>
    <rPh sb="1" eb="3">
      <t>ホケン</t>
    </rPh>
    <rPh sb="3" eb="4">
      <t>ゼイ</t>
    </rPh>
    <rPh sb="4" eb="6">
      <t>ガイサン</t>
    </rPh>
    <rPh sb="6" eb="7">
      <t>ガク</t>
    </rPh>
    <rPh sb="8" eb="10">
      <t>ネンガク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</si>
</sst>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0&quot;年度　三股町国民健康保険税額の試算用入力フォーム&quot;"/>
    <numFmt numFmtId="177" formatCode="&quot;令和&quot;#,##0&quot;年度の&quot;"/>
    <numFmt numFmtId="178" formatCode="&quot;令和&quot;#,##0&quot;年中の収入・所得等情報&quot;"/>
    <numFmt numFmtId="179" formatCode="#,##0&quot;割&quot;"/>
    <numFmt numFmtId="180" formatCode="&quot;令和&quot;#,##0&quot;年度　三股町国民健康保険税　概算額　算出表&quot;"/>
    <numFmt numFmtId="181" formatCode="&quot;(&quot;#,##0&quot;名様分)&quot;"/>
    <numFmt numFmtId="182" formatCode="&quot;　※ 令和&quot;#,##0&quot;年4月から翌年3月の1年分の金額&quot;"/>
    <numFmt numFmtId="183" formatCode="&quot;令和&quot;#,##0&quot;年度&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2"/>
      <charset val="128"/>
      <scheme val="minor"/>
    </font>
    <font>
      <sz val="14"/>
      <name val="ＭＳ Ｐゴシック"/>
      <family val="3"/>
      <charset val="128"/>
    </font>
    <font>
      <sz val="9"/>
      <color theme="1"/>
      <name val="ＭＳ ゴシック"/>
      <family val="3"/>
      <charset val="128"/>
    </font>
    <font>
      <sz val="8"/>
      <color theme="1"/>
      <name val="ＭＳ ゴシック"/>
      <family val="3"/>
      <charset val="128"/>
    </font>
    <font>
      <sz val="11"/>
      <name val="ＭＳ 明朝"/>
      <family val="1"/>
      <charset val="128"/>
    </font>
    <font>
      <sz val="6"/>
      <name val="ＭＳ Ｐゴシック"/>
      <family val="3"/>
      <charset val="128"/>
    </font>
    <font>
      <sz val="8"/>
      <name val="ＭＳ 明朝"/>
      <family val="1"/>
      <charset val="128"/>
    </font>
    <font>
      <sz val="10"/>
      <color theme="1"/>
      <name val="ＭＳ ゴシック"/>
      <family val="3"/>
      <charset val="128"/>
    </font>
    <font>
      <sz val="11"/>
      <name val="ＭＳ ゴシック"/>
      <family val="3"/>
      <charset val="128"/>
    </font>
    <font>
      <b/>
      <sz val="11"/>
      <color theme="1"/>
      <name val="ＭＳ ゴシック"/>
      <family val="3"/>
      <charset val="128"/>
    </font>
    <font>
      <b/>
      <sz val="12"/>
      <color theme="1"/>
      <name val="ＭＳ ゴシック"/>
      <family val="3"/>
      <charset val="128"/>
    </font>
    <font>
      <b/>
      <sz val="12"/>
      <color theme="1"/>
      <name val="ＭＳ Ｐゴシック"/>
      <family val="3"/>
      <charset val="128"/>
      <scheme val="minor"/>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0"/>
      <color rgb="FFFF0000"/>
      <name val="ＭＳ ゴシック"/>
      <family val="3"/>
      <charset val="128"/>
    </font>
    <font>
      <sz val="11"/>
      <color theme="0"/>
      <name val="ＭＳ ゴシック"/>
      <family val="3"/>
      <charset val="128"/>
    </font>
    <font>
      <sz val="9"/>
      <color theme="0"/>
      <name val="ＭＳ ゴシック"/>
      <family val="3"/>
      <charset val="128"/>
    </font>
    <font>
      <sz val="11"/>
      <color theme="0"/>
      <name val="ＭＳ 明朝"/>
      <family val="1"/>
      <charset val="128"/>
    </font>
  </fonts>
  <fills count="11">
    <fill>
      <patternFill patternType="none"/>
    </fill>
    <fill>
      <patternFill patternType="gray125"/>
    </fill>
    <fill>
      <patternFill patternType="solid">
        <fgColor rgb="FF00FFFF"/>
        <bgColor indexed="64"/>
      </patternFill>
    </fill>
    <fill>
      <patternFill patternType="solid">
        <fgColor rgb="FFD0D4CE"/>
        <bgColor indexed="64"/>
      </patternFill>
    </fill>
    <fill>
      <patternFill patternType="solid">
        <fgColor rgb="FFCCFF66"/>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bottom/>
      <diagonal/>
    </border>
    <border>
      <left/>
      <right/>
      <top style="thin">
        <color auto="1"/>
      </top>
      <bottom style="thin">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xf numFmtId="0" fontId="9" fillId="0" borderId="0" xfId="0" applyFont="1" applyAlignment="1"/>
    <xf numFmtId="38" fontId="2" fillId="0" borderId="0" xfId="0" applyNumberFormat="1" applyFont="1">
      <alignment vertical="center"/>
    </xf>
    <xf numFmtId="0" fontId="2" fillId="0" borderId="0" xfId="0" applyFont="1" applyProtection="1">
      <alignment vertical="center"/>
      <protection hidden="1"/>
    </xf>
    <xf numFmtId="176" fontId="4" fillId="0" borderId="0" xfId="1" applyNumberFormat="1" applyFont="1" applyAlignment="1" applyProtection="1">
      <alignment vertical="center"/>
      <protection locked="0" hidden="1"/>
    </xf>
    <xf numFmtId="0" fontId="10" fillId="0" borderId="0" xfId="0" applyFont="1" applyProtection="1">
      <alignment vertical="center"/>
      <protection hidden="1"/>
    </xf>
    <xf numFmtId="0" fontId="2" fillId="5" borderId="4" xfId="0" applyFont="1" applyFill="1" applyBorder="1" applyProtection="1">
      <alignment vertical="center"/>
      <protection hidden="1"/>
    </xf>
    <xf numFmtId="0" fontId="2" fillId="5" borderId="5" xfId="0" applyFont="1" applyFill="1" applyBorder="1" applyProtection="1">
      <alignment vertical="center"/>
      <protection hidden="1"/>
    </xf>
    <xf numFmtId="0" fontId="2" fillId="5" borderId="6" xfId="0" applyFont="1" applyFill="1" applyBorder="1" applyProtection="1">
      <alignment vertical="center"/>
      <protection hidden="1"/>
    </xf>
    <xf numFmtId="0" fontId="10" fillId="5" borderId="10" xfId="0" applyFont="1" applyFill="1" applyBorder="1" applyProtection="1">
      <alignment vertical="center"/>
      <protection hidden="1"/>
    </xf>
    <xf numFmtId="0" fontId="2" fillId="0" borderId="0" xfId="0" applyFont="1" applyAlignment="1" applyProtection="1">
      <alignment horizontal="center" vertical="center"/>
      <protection hidden="1"/>
    </xf>
    <xf numFmtId="38" fontId="11" fillId="0" borderId="0" xfId="0" applyNumberFormat="1" applyFont="1" applyAlignment="1" applyProtection="1">
      <alignment horizontal="center" vertical="center"/>
      <protection hidden="1"/>
    </xf>
    <xf numFmtId="38" fontId="2" fillId="0" borderId="0" xfId="0" applyNumberFormat="1" applyFont="1" applyProtection="1">
      <alignment vertical="center"/>
      <protection hidden="1"/>
    </xf>
    <xf numFmtId="38" fontId="2" fillId="0" borderId="0" xfId="1" applyFont="1" applyFill="1" applyBorder="1" applyAlignment="1" applyProtection="1">
      <alignment vertical="center"/>
      <protection hidden="1"/>
    </xf>
    <xf numFmtId="0" fontId="5"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0" borderId="16" xfId="0" applyFont="1" applyBorder="1" applyProtection="1">
      <alignment vertical="center"/>
      <protection hidden="1"/>
    </xf>
    <xf numFmtId="0" fontId="2" fillId="0" borderId="17" xfId="0" applyFont="1" applyBorder="1" applyProtection="1">
      <alignment vertical="center"/>
      <protection hidden="1"/>
    </xf>
    <xf numFmtId="0" fontId="2" fillId="0" borderId="19" xfId="0" applyFont="1" applyBorder="1" applyProtection="1">
      <alignment vertical="center"/>
      <protection hidden="1"/>
    </xf>
    <xf numFmtId="0" fontId="13" fillId="0" borderId="18" xfId="0" applyFont="1" applyBorder="1" applyProtection="1">
      <alignment vertical="center"/>
      <protection hidden="1"/>
    </xf>
    <xf numFmtId="0" fontId="13" fillId="0" borderId="0" xfId="0" applyFont="1" applyProtection="1">
      <alignment vertical="center"/>
      <protection hidden="1"/>
    </xf>
    <xf numFmtId="0" fontId="2" fillId="0" borderId="18" xfId="0" applyFont="1" applyBorder="1" applyProtection="1">
      <alignment vertical="center"/>
      <protection hidden="1"/>
    </xf>
    <xf numFmtId="0" fontId="2" fillId="5" borderId="4" xfId="0" applyFont="1" applyFill="1" applyBorder="1" applyAlignment="1">
      <alignment horizontal="center"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0" fillId="0" borderId="0" xfId="0" applyProtection="1">
      <alignment vertical="center"/>
      <protection hidden="1"/>
    </xf>
    <xf numFmtId="0" fontId="0" fillId="8" borderId="7" xfId="0" applyFill="1" applyBorder="1" applyProtection="1">
      <alignment vertical="center"/>
      <protection hidden="1"/>
    </xf>
    <xf numFmtId="0" fontId="0" fillId="8" borderId="0" xfId="0" applyFill="1" applyProtection="1">
      <alignment vertical="center"/>
      <protection hidden="1"/>
    </xf>
    <xf numFmtId="0" fontId="0" fillId="8" borderId="8" xfId="0" applyFill="1" applyBorder="1" applyProtection="1">
      <alignment vertical="center"/>
      <protection hidden="1"/>
    </xf>
    <xf numFmtId="0" fontId="2" fillId="8" borderId="7" xfId="0" applyFont="1" applyFill="1" applyBorder="1" applyProtection="1">
      <alignment vertical="center"/>
      <protection hidden="1"/>
    </xf>
    <xf numFmtId="0" fontId="0" fillId="8" borderId="9" xfId="0" applyFill="1" applyBorder="1" applyProtection="1">
      <alignment vertical="center"/>
      <protection hidden="1"/>
    </xf>
    <xf numFmtId="0" fontId="0" fillId="8" borderId="14" xfId="0" applyFill="1" applyBorder="1" applyProtection="1">
      <alignment vertical="center"/>
      <protection hidden="1"/>
    </xf>
    <xf numFmtId="0" fontId="0" fillId="8" borderId="10" xfId="0" applyFill="1" applyBorder="1" applyProtection="1">
      <alignment vertical="center"/>
      <protection hidden="1"/>
    </xf>
    <xf numFmtId="0" fontId="2" fillId="7" borderId="11" xfId="0" applyFont="1" applyFill="1" applyBorder="1" applyProtection="1">
      <alignment vertical="center"/>
      <protection hidden="1"/>
    </xf>
    <xf numFmtId="0" fontId="0" fillId="7" borderId="13" xfId="0" applyFill="1" applyBorder="1" applyProtection="1">
      <alignment vertical="center"/>
      <protection hidden="1"/>
    </xf>
    <xf numFmtId="0" fontId="0" fillId="7" borderId="12" xfId="0" applyFill="1" applyBorder="1" applyProtection="1">
      <alignment vertical="center"/>
      <protection hidden="1"/>
    </xf>
    <xf numFmtId="0" fontId="2" fillId="7" borderId="7" xfId="0" applyFont="1" applyFill="1" applyBorder="1" applyProtection="1">
      <alignment vertical="center"/>
      <protection hidden="1"/>
    </xf>
    <xf numFmtId="0" fontId="0" fillId="7" borderId="0" xfId="0" applyFill="1" applyProtection="1">
      <alignment vertical="center"/>
      <protection hidden="1"/>
    </xf>
    <xf numFmtId="0" fontId="0" fillId="7" borderId="8" xfId="0" applyFill="1" applyBorder="1" applyProtection="1">
      <alignment vertical="center"/>
      <protection hidden="1"/>
    </xf>
    <xf numFmtId="0" fontId="0" fillId="7" borderId="9" xfId="0" applyFill="1" applyBorder="1" applyProtection="1">
      <alignment vertical="center"/>
      <protection hidden="1"/>
    </xf>
    <xf numFmtId="0" fontId="0" fillId="7" borderId="14" xfId="0" applyFill="1" applyBorder="1" applyProtection="1">
      <alignment vertical="center"/>
      <protection hidden="1"/>
    </xf>
    <xf numFmtId="0" fontId="0" fillId="7" borderId="10" xfId="0" applyFill="1" applyBorder="1" applyProtection="1">
      <alignment vertical="center"/>
      <protection hidden="1"/>
    </xf>
    <xf numFmtId="2" fontId="21" fillId="5" borderId="9" xfId="0" applyNumberFormat="1" applyFont="1" applyFill="1" applyBorder="1" applyProtection="1">
      <alignment vertical="center"/>
      <protection hidden="1"/>
    </xf>
    <xf numFmtId="38" fontId="21" fillId="5" borderId="9" xfId="1" applyFont="1" applyFill="1" applyBorder="1" applyProtection="1">
      <alignment vertical="center"/>
      <protection hidden="1"/>
    </xf>
    <xf numFmtId="0" fontId="2" fillId="10" borderId="0" xfId="0" applyFont="1" applyFill="1">
      <alignment vertical="center"/>
    </xf>
    <xf numFmtId="0" fontId="7" fillId="10" borderId="0" xfId="0" applyFont="1" applyFill="1" applyAlignment="1"/>
    <xf numFmtId="0" fontId="9" fillId="10" borderId="0" xfId="0" applyFont="1" applyFill="1" applyAlignment="1"/>
    <xf numFmtId="0" fontId="10" fillId="5" borderId="14" xfId="0" applyFont="1" applyFill="1" applyBorder="1" applyProtection="1">
      <alignment vertical="center"/>
      <protection hidden="1"/>
    </xf>
    <xf numFmtId="0" fontId="22" fillId="10" borderId="0" xfId="0" applyFont="1" applyFill="1">
      <alignment vertical="center"/>
    </xf>
    <xf numFmtId="0" fontId="23" fillId="10" borderId="0" xfId="0" applyFont="1" applyFill="1">
      <alignment vertical="center"/>
    </xf>
    <xf numFmtId="183" fontId="23" fillId="10" borderId="0" xfId="0" applyNumberFormat="1" applyFont="1" applyFill="1" applyAlignment="1"/>
    <xf numFmtId="0" fontId="23" fillId="10" borderId="0" xfId="0" applyFont="1" applyFill="1" applyAlignment="1"/>
    <xf numFmtId="38" fontId="23" fillId="10" borderId="0" xfId="0" applyNumberFormat="1" applyFont="1" applyFill="1" applyAlignment="1">
      <alignment vertical="center" shrinkToFit="1"/>
    </xf>
    <xf numFmtId="38" fontId="23" fillId="10" borderId="0" xfId="1" applyFont="1" applyFill="1" applyBorder="1" applyAlignment="1">
      <alignment vertical="center" shrinkToFit="1"/>
    </xf>
    <xf numFmtId="0" fontId="23" fillId="10" borderId="0" xfId="0" applyFont="1" applyFill="1" applyAlignment="1">
      <alignment shrinkToFit="1"/>
    </xf>
    <xf numFmtId="0" fontId="23" fillId="10" borderId="0" xfId="0" applyFont="1" applyFill="1" applyAlignment="1">
      <alignment vertical="center" shrinkToFit="1"/>
    </xf>
    <xf numFmtId="57" fontId="23" fillId="10" borderId="0" xfId="0" applyNumberFormat="1" applyFont="1" applyFill="1" applyAlignment="1">
      <alignment shrinkToFit="1"/>
    </xf>
    <xf numFmtId="57" fontId="23" fillId="10" borderId="0" xfId="0" applyNumberFormat="1" applyFont="1" applyFill="1" applyAlignment="1"/>
    <xf numFmtId="38" fontId="23" fillId="10" borderId="0" xfId="0" applyNumberFormat="1" applyFont="1" applyFill="1">
      <alignment vertical="center"/>
    </xf>
    <xf numFmtId="0" fontId="24" fillId="10" borderId="0" xfId="0" applyFont="1" applyFill="1" applyAlignment="1"/>
    <xf numFmtId="3" fontId="23" fillId="10" borderId="0" xfId="0" applyNumberFormat="1" applyFont="1" applyFill="1">
      <alignment vertical="center"/>
    </xf>
    <xf numFmtId="38" fontId="23" fillId="10" borderId="0" xfId="1" applyFont="1" applyFill="1" applyBorder="1">
      <alignment vertical="center"/>
    </xf>
    <xf numFmtId="0" fontId="22" fillId="10" borderId="0" xfId="0" applyFont="1" applyFill="1" applyAlignment="1">
      <alignment vertical="center" shrinkToFit="1"/>
    </xf>
    <xf numFmtId="14" fontId="2" fillId="0" borderId="0" xfId="0" applyNumberFormat="1" applyFont="1" applyAlignment="1" applyProtection="1">
      <alignment horizontal="center" vertical="center"/>
      <protection hidden="1"/>
    </xf>
    <xf numFmtId="0" fontId="2" fillId="0" borderId="1" xfId="0" applyFont="1" applyBorder="1" applyAlignment="1" applyProtection="1">
      <alignment horizontal="center" vertical="center" shrinkToFit="1"/>
      <protection locked="0"/>
    </xf>
    <xf numFmtId="0" fontId="6" fillId="5" borderId="5" xfId="0" applyFont="1" applyFill="1" applyBorder="1" applyAlignment="1" applyProtection="1">
      <alignment vertical="center" wrapText="1"/>
      <protection hidden="1"/>
    </xf>
    <xf numFmtId="0" fontId="6" fillId="5" borderId="6" xfId="0" applyFont="1" applyFill="1" applyBorder="1" applyAlignment="1" applyProtection="1">
      <alignment vertical="center" wrapText="1"/>
      <protection hidden="1"/>
    </xf>
    <xf numFmtId="0" fontId="2" fillId="5" borderId="4" xfId="0" applyFont="1" applyFill="1" applyBorder="1" applyAlignment="1" applyProtection="1">
      <alignment horizontal="center" vertical="center"/>
      <protection hidden="1"/>
    </xf>
    <xf numFmtId="0" fontId="2" fillId="5" borderId="5" xfId="0"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xf numFmtId="57"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3" borderId="3" xfId="0" applyFont="1" applyFill="1" applyBorder="1" applyAlignment="1" applyProtection="1">
      <alignment horizontal="center" vertical="center"/>
      <protection hidden="1"/>
    </xf>
    <xf numFmtId="38" fontId="2" fillId="3" borderId="2" xfId="1" applyFont="1" applyFill="1" applyBorder="1" applyAlignment="1" applyProtection="1">
      <alignment vertical="center" shrinkToFit="1"/>
      <protection hidden="1"/>
    </xf>
    <xf numFmtId="38" fontId="2" fillId="0" borderId="2" xfId="1" applyFont="1" applyFill="1" applyBorder="1" applyAlignment="1" applyProtection="1">
      <alignment vertical="center" shrinkToFit="1"/>
      <protection locked="0"/>
    </xf>
    <xf numFmtId="0" fontId="5" fillId="0" borderId="3" xfId="0" applyFont="1" applyBorder="1" applyAlignment="1" applyProtection="1">
      <alignment horizontal="center" vertical="center"/>
      <protection hidden="1"/>
    </xf>
    <xf numFmtId="38" fontId="2" fillId="3" borderId="11" xfId="1" applyFont="1" applyFill="1" applyBorder="1" applyAlignment="1" applyProtection="1">
      <alignment vertical="center" shrinkToFit="1"/>
      <protection hidden="1"/>
    </xf>
    <xf numFmtId="38" fontId="2" fillId="3" borderId="9" xfId="1" applyFont="1" applyFill="1" applyBorder="1" applyAlignment="1" applyProtection="1">
      <alignment vertical="center" shrinkToFit="1"/>
      <protection hidden="1"/>
    </xf>
    <xf numFmtId="0" fontId="5" fillId="0" borderId="1" xfId="0" applyFont="1" applyBorder="1" applyAlignment="1" applyProtection="1">
      <alignment vertical="center" wrapText="1"/>
      <protection locked="0"/>
    </xf>
    <xf numFmtId="57" fontId="2" fillId="0" borderId="11" xfId="0" applyNumberFormat="1" applyFont="1" applyBorder="1" applyAlignment="1" applyProtection="1">
      <alignment horizontal="center" vertical="center"/>
      <protection locked="0"/>
    </xf>
    <xf numFmtId="57" fontId="2" fillId="0" borderId="12" xfId="0" applyNumberFormat="1" applyFont="1" applyBorder="1" applyAlignment="1" applyProtection="1">
      <alignment horizontal="center" vertical="center"/>
      <protection locked="0"/>
    </xf>
    <xf numFmtId="57" fontId="2" fillId="0" borderId="9" xfId="0" applyNumberFormat="1" applyFont="1" applyBorder="1" applyAlignment="1" applyProtection="1">
      <alignment horizontal="center" vertical="center"/>
      <protection locked="0"/>
    </xf>
    <xf numFmtId="57" fontId="2" fillId="0" borderId="10" xfId="0" applyNumberFormat="1" applyFont="1" applyBorder="1" applyAlignment="1" applyProtection="1">
      <alignment horizontal="center" vertical="center"/>
      <protection locked="0"/>
    </xf>
    <xf numFmtId="180" fontId="4" fillId="0" borderId="0" xfId="1" applyNumberFormat="1" applyFont="1" applyAlignment="1" applyProtection="1">
      <alignment horizontal="center" vertical="center"/>
      <protection locked="0" hidden="1"/>
    </xf>
    <xf numFmtId="0" fontId="2" fillId="5" borderId="1" xfId="0" applyFont="1" applyFill="1" applyBorder="1" applyAlignment="1" applyProtection="1">
      <alignment horizontal="center" vertical="center" wrapText="1"/>
      <protection hidden="1"/>
    </xf>
    <xf numFmtId="177" fontId="2" fillId="5" borderId="11" xfId="0" applyNumberFormat="1" applyFont="1" applyFill="1" applyBorder="1" applyAlignment="1" applyProtection="1">
      <alignment horizontal="center" vertical="center"/>
      <protection hidden="1"/>
    </xf>
    <xf numFmtId="177" fontId="2" fillId="5" borderId="12" xfId="0" applyNumberFormat="1" applyFont="1" applyFill="1" applyBorder="1" applyAlignment="1" applyProtection="1">
      <alignment horizontal="center" vertical="center"/>
      <protection hidden="1"/>
    </xf>
    <xf numFmtId="0" fontId="6" fillId="5" borderId="7" xfId="0" applyFont="1" applyFill="1" applyBorder="1" applyAlignment="1" applyProtection="1">
      <alignment horizontal="center" vertical="center" wrapText="1"/>
      <protection hidden="1"/>
    </xf>
    <xf numFmtId="0" fontId="6" fillId="5" borderId="8" xfId="0" applyFont="1" applyFill="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10"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top" shrinkToFit="1"/>
      <protection hidden="1"/>
    </xf>
    <xf numFmtId="0" fontId="2" fillId="5" borderId="8" xfId="0" applyFont="1" applyFill="1" applyBorder="1" applyAlignment="1" applyProtection="1">
      <alignment horizontal="center" vertical="top" shrinkToFit="1"/>
      <protection hidden="1"/>
    </xf>
    <xf numFmtId="0" fontId="2" fillId="5" borderId="11"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178" fontId="2" fillId="5" borderId="1" xfId="0" applyNumberFormat="1" applyFont="1" applyFill="1" applyBorder="1" applyAlignment="1" applyProtection="1">
      <alignment horizontal="center" vertical="center"/>
      <protection hidden="1"/>
    </xf>
    <xf numFmtId="0" fontId="10" fillId="5" borderId="11"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protection hidden="1"/>
    </xf>
    <xf numFmtId="0" fontId="10" fillId="5" borderId="7" xfId="0" applyFont="1" applyFill="1" applyBorder="1" applyAlignment="1" applyProtection="1">
      <alignment horizontal="center" vertical="center"/>
      <protection hidden="1"/>
    </xf>
    <xf numFmtId="0" fontId="10" fillId="5" borderId="8"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38" fontId="2" fillId="0" borderId="11" xfId="1" applyFont="1" applyBorder="1" applyAlignment="1" applyProtection="1">
      <alignment vertical="center"/>
      <protection hidden="1"/>
    </xf>
    <xf numFmtId="38" fontId="2" fillId="0" borderId="9" xfId="1" applyFont="1" applyBorder="1" applyAlignment="1" applyProtection="1">
      <alignment vertical="center"/>
      <protection hidden="1"/>
    </xf>
    <xf numFmtId="38" fontId="2" fillId="0" borderId="7" xfId="1" applyFont="1" applyBorder="1" applyAlignment="1" applyProtection="1">
      <alignment vertical="center"/>
      <protection hidden="1"/>
    </xf>
    <xf numFmtId="0" fontId="5" fillId="0" borderId="8" xfId="0" applyFont="1" applyBorder="1" applyAlignment="1" applyProtection="1">
      <alignment horizontal="center" vertical="center"/>
      <protection hidden="1"/>
    </xf>
    <xf numFmtId="38" fontId="2" fillId="4" borderId="11" xfId="0" applyNumberFormat="1" applyFont="1" applyFill="1" applyBorder="1" applyProtection="1">
      <alignment vertical="center"/>
      <protection hidden="1"/>
    </xf>
    <xf numFmtId="38" fontId="2" fillId="4" borderId="9" xfId="0" applyNumberFormat="1" applyFont="1" applyFill="1" applyBorder="1" applyProtection="1">
      <alignment vertical="center"/>
      <protection hidden="1"/>
    </xf>
    <xf numFmtId="38" fontId="2" fillId="0" borderId="11" xfId="1" applyFont="1" applyFill="1" applyBorder="1" applyAlignment="1" applyProtection="1">
      <alignment vertical="center"/>
      <protection hidden="1"/>
    </xf>
    <xf numFmtId="38" fontId="2" fillId="0" borderId="9" xfId="1" applyFont="1" applyFill="1" applyBorder="1" applyAlignment="1" applyProtection="1">
      <alignment vertical="center"/>
      <protection hidden="1"/>
    </xf>
    <xf numFmtId="38" fontId="11" fillId="2" borderId="4" xfId="0" applyNumberFormat="1" applyFont="1" applyFill="1" applyBorder="1" applyAlignment="1" applyProtection="1">
      <alignment horizontal="center" vertical="center"/>
      <protection hidden="1"/>
    </xf>
    <xf numFmtId="38" fontId="11" fillId="2" borderId="6" xfId="0" applyNumberFormat="1"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protection hidden="1"/>
    </xf>
    <xf numFmtId="0" fontId="2" fillId="0" borderId="7" xfId="0" applyFont="1" applyBorder="1" applyProtection="1">
      <alignment vertical="center"/>
      <protection hidden="1"/>
    </xf>
    <xf numFmtId="0" fontId="2" fillId="0" borderId="0" xfId="0" applyFont="1" applyProtection="1">
      <alignment vertical="center"/>
      <protection hidden="1"/>
    </xf>
    <xf numFmtId="38" fontId="5" fillId="0" borderId="11" xfId="1" applyFont="1" applyFill="1" applyBorder="1" applyAlignment="1" applyProtection="1">
      <alignment horizontal="center"/>
      <protection hidden="1"/>
    </xf>
    <xf numFmtId="38" fontId="5" fillId="0" borderId="12" xfId="1" applyFont="1" applyFill="1" applyBorder="1" applyAlignment="1" applyProtection="1">
      <alignment horizontal="center"/>
      <protection hidden="1"/>
    </xf>
    <xf numFmtId="0" fontId="2" fillId="0" borderId="11" xfId="0" applyFont="1" applyBorder="1" applyAlignment="1" applyProtection="1">
      <alignment vertical="center" wrapText="1"/>
      <protection hidden="1"/>
    </xf>
    <xf numFmtId="0" fontId="2" fillId="0" borderId="13" xfId="0" applyFont="1" applyBorder="1" applyProtection="1">
      <alignment vertical="center"/>
      <protection hidden="1"/>
    </xf>
    <xf numFmtId="0" fontId="2" fillId="0" borderId="12" xfId="0" applyFont="1" applyBorder="1" applyProtection="1">
      <alignment vertical="center"/>
      <protection hidden="1"/>
    </xf>
    <xf numFmtId="0" fontId="2" fillId="0" borderId="8" xfId="0" applyFont="1" applyBorder="1" applyProtection="1">
      <alignment vertical="center"/>
      <protection hidden="1"/>
    </xf>
    <xf numFmtId="0" fontId="2" fillId="0" borderId="9" xfId="0" applyFont="1" applyBorder="1" applyProtection="1">
      <alignment vertical="center"/>
      <protection hidden="1"/>
    </xf>
    <xf numFmtId="0" fontId="2" fillId="0" borderId="14" xfId="0" applyFont="1" applyBorder="1" applyProtection="1">
      <alignment vertical="center"/>
      <protection hidden="1"/>
    </xf>
    <xf numFmtId="0" fontId="2" fillId="0" borderId="10" xfId="0" applyFont="1" applyBorder="1" applyProtection="1">
      <alignment vertical="center"/>
      <protection hidden="1"/>
    </xf>
    <xf numFmtId="38" fontId="5" fillId="0" borderId="9" xfId="1" applyFont="1" applyFill="1" applyBorder="1" applyAlignment="1" applyProtection="1">
      <alignment horizontal="center" vertical="top"/>
      <protection hidden="1"/>
    </xf>
    <xf numFmtId="38" fontId="5" fillId="0" borderId="10" xfId="1" applyFont="1" applyFill="1" applyBorder="1" applyAlignment="1" applyProtection="1">
      <alignment horizontal="center" vertical="top"/>
      <protection hidden="1"/>
    </xf>
    <xf numFmtId="0" fontId="5" fillId="5" borderId="13" xfId="0" applyFont="1" applyFill="1" applyBorder="1" applyAlignment="1" applyProtection="1">
      <alignment horizontal="center" vertical="center"/>
      <protection hidden="1"/>
    </xf>
    <xf numFmtId="0" fontId="5" fillId="5" borderId="14" xfId="0" applyFont="1" applyFill="1" applyBorder="1" applyAlignment="1" applyProtection="1">
      <alignment horizontal="center" vertical="center"/>
      <protection hidden="1"/>
    </xf>
    <xf numFmtId="38" fontId="5" fillId="5" borderId="13" xfId="1" applyFont="1" applyFill="1" applyBorder="1" applyAlignment="1" applyProtection="1">
      <alignment horizontal="center" vertical="center"/>
      <protection hidden="1"/>
    </xf>
    <xf numFmtId="38" fontId="5" fillId="5" borderId="14" xfId="1" applyFont="1" applyFill="1" applyBorder="1" applyAlignment="1" applyProtection="1">
      <alignment horizontal="center" vertical="center"/>
      <protection hidden="1"/>
    </xf>
    <xf numFmtId="0" fontId="5" fillId="5" borderId="12" xfId="0" applyFont="1" applyFill="1" applyBorder="1" applyAlignment="1" applyProtection="1">
      <alignment horizontal="center" vertical="center" shrinkToFit="1"/>
      <protection hidden="1"/>
    </xf>
    <xf numFmtId="0" fontId="5" fillId="5" borderId="10" xfId="0" applyFont="1" applyFill="1" applyBorder="1" applyAlignment="1" applyProtection="1">
      <alignment horizontal="center" vertical="center" shrinkToFit="1"/>
      <protection hidden="1"/>
    </xf>
    <xf numFmtId="0" fontId="2" fillId="2" borderId="4"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179" fontId="2" fillId="0" borderId="4" xfId="0" applyNumberFormat="1" applyFont="1" applyBorder="1" applyAlignment="1" applyProtection="1">
      <alignment horizontal="center" vertical="center"/>
      <protection hidden="1"/>
    </xf>
    <xf numFmtId="179" fontId="2" fillId="0" borderId="6" xfId="0" applyNumberFormat="1" applyFont="1" applyBorder="1" applyAlignment="1" applyProtection="1">
      <alignment horizontal="center" vertical="center"/>
      <protection hidden="1"/>
    </xf>
    <xf numFmtId="0" fontId="13" fillId="0" borderId="15" xfId="0" applyFont="1" applyBorder="1" applyProtection="1">
      <alignment vertical="center"/>
      <protection hidden="1"/>
    </xf>
    <xf numFmtId="0" fontId="13" fillId="0" borderId="16" xfId="0" applyFont="1" applyBorder="1" applyProtection="1">
      <alignment vertical="center"/>
      <protection hidden="1"/>
    </xf>
    <xf numFmtId="0" fontId="13" fillId="0" borderId="18" xfId="0" applyFont="1" applyBorder="1" applyProtection="1">
      <alignment vertical="center"/>
      <protection hidden="1"/>
    </xf>
    <xf numFmtId="0" fontId="13" fillId="0" borderId="0" xfId="0" applyFont="1" applyProtection="1">
      <alignment vertical="center"/>
      <protection hidden="1"/>
    </xf>
    <xf numFmtId="181" fontId="2" fillId="0" borderId="33" xfId="0" applyNumberFormat="1" applyFont="1" applyBorder="1" applyAlignment="1" applyProtection="1">
      <alignment horizontal="center" vertical="center"/>
      <protection hidden="1"/>
    </xf>
    <xf numFmtId="181" fontId="2" fillId="0" borderId="0" xfId="0" applyNumberFormat="1" applyFont="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2" fillId="5" borderId="9" xfId="0" applyFont="1" applyFill="1" applyBorder="1" applyAlignment="1" applyProtection="1">
      <alignment horizontal="center" vertical="center"/>
      <protection hidden="1"/>
    </xf>
    <xf numFmtId="0" fontId="2" fillId="5" borderId="14" xfId="0" applyFont="1" applyFill="1" applyBorder="1" applyAlignment="1" applyProtection="1">
      <alignment horizontal="center" vertical="center"/>
      <protection hidden="1"/>
    </xf>
    <xf numFmtId="0" fontId="2" fillId="2" borderId="23" xfId="0" applyFont="1" applyFill="1" applyBorder="1" applyProtection="1">
      <alignment vertical="center"/>
      <protection hidden="1"/>
    </xf>
    <xf numFmtId="0" fontId="2" fillId="2" borderId="24" xfId="0" applyFont="1" applyFill="1" applyBorder="1" applyProtection="1">
      <alignment vertical="center"/>
      <protection hidden="1"/>
    </xf>
    <xf numFmtId="0" fontId="2" fillId="2" borderId="25" xfId="0" applyFont="1" applyFill="1" applyBorder="1" applyProtection="1">
      <alignment vertical="center"/>
      <protection hidden="1"/>
    </xf>
    <xf numFmtId="0" fontId="2" fillId="2" borderId="28" xfId="0" applyFont="1" applyFill="1" applyBorder="1" applyProtection="1">
      <alignment vertical="center"/>
      <protection hidden="1"/>
    </xf>
    <xf numFmtId="0" fontId="2" fillId="2" borderId="29" xfId="0" applyFont="1" applyFill="1" applyBorder="1" applyProtection="1">
      <alignment vertical="center"/>
      <protection hidden="1"/>
    </xf>
    <xf numFmtId="0" fontId="2" fillId="2" borderId="30" xfId="0" applyFont="1" applyFill="1" applyBorder="1" applyProtection="1">
      <alignment vertical="center"/>
      <protection hidden="1"/>
    </xf>
    <xf numFmtId="38" fontId="2" fillId="4" borderId="26" xfId="0" applyNumberFormat="1" applyFont="1" applyFill="1" applyBorder="1" applyProtection="1">
      <alignment vertical="center"/>
      <protection hidden="1"/>
    </xf>
    <xf numFmtId="38" fontId="2" fillId="4" borderId="31" xfId="0" applyNumberFormat="1" applyFont="1" applyFill="1" applyBorder="1" applyProtection="1">
      <alignment vertical="center"/>
      <protection hidden="1"/>
    </xf>
    <xf numFmtId="0" fontId="5" fillId="4" borderId="27" xfId="0" applyFont="1" applyFill="1" applyBorder="1" applyAlignment="1" applyProtection="1">
      <alignment horizontal="center" vertical="center"/>
      <protection hidden="1"/>
    </xf>
    <xf numFmtId="0" fontId="5" fillId="4" borderId="32" xfId="0" applyFont="1" applyFill="1" applyBorder="1" applyAlignment="1" applyProtection="1">
      <alignment horizontal="center" vertical="center"/>
      <protection hidden="1"/>
    </xf>
    <xf numFmtId="38" fontId="2" fillId="0" borderId="7" xfId="1" applyFont="1" applyFill="1" applyBorder="1" applyAlignment="1" applyProtection="1">
      <alignment vertical="center"/>
      <protection hidden="1"/>
    </xf>
    <xf numFmtId="182" fontId="2" fillId="0" borderId="0" xfId="0" applyNumberFormat="1" applyFont="1" applyAlignment="1" applyProtection="1">
      <alignment horizontal="left" vertical="center"/>
      <protection hidden="1"/>
    </xf>
    <xf numFmtId="0" fontId="5" fillId="0" borderId="13"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4" xfId="0" applyFont="1" applyBorder="1" applyAlignment="1" applyProtection="1">
      <alignment horizontal="center" vertical="center"/>
      <protection hidden="1"/>
    </xf>
    <xf numFmtId="38" fontId="11" fillId="2" borderId="11" xfId="0" applyNumberFormat="1" applyFont="1" applyFill="1" applyBorder="1" applyAlignment="1" applyProtection="1">
      <alignment horizontal="center" vertical="center"/>
      <protection hidden="1"/>
    </xf>
    <xf numFmtId="38" fontId="11" fillId="2" borderId="13" xfId="0" applyNumberFormat="1" applyFont="1" applyFill="1" applyBorder="1" applyAlignment="1" applyProtection="1">
      <alignment horizontal="center" vertical="center"/>
      <protection hidden="1"/>
    </xf>
    <xf numFmtId="38" fontId="11" fillId="2" borderId="12" xfId="0" applyNumberFormat="1" applyFont="1" applyFill="1" applyBorder="1" applyAlignment="1" applyProtection="1">
      <alignment horizontal="center" vertical="center"/>
      <protection hidden="1"/>
    </xf>
    <xf numFmtId="38" fontId="11" fillId="2" borderId="9" xfId="0" applyNumberFormat="1" applyFont="1" applyFill="1" applyBorder="1" applyAlignment="1" applyProtection="1">
      <alignment horizontal="center" vertical="center"/>
      <protection hidden="1"/>
    </xf>
    <xf numFmtId="38" fontId="11" fillId="2" borderId="14" xfId="0" applyNumberFormat="1" applyFont="1" applyFill="1" applyBorder="1" applyAlignment="1" applyProtection="1">
      <alignment horizontal="center" vertical="center"/>
      <protection hidden="1"/>
    </xf>
    <xf numFmtId="38" fontId="11" fillId="2" borderId="10" xfId="0" applyNumberFormat="1" applyFont="1" applyFill="1" applyBorder="1" applyAlignment="1" applyProtection="1">
      <alignment horizontal="center" vertical="center"/>
      <protection hidden="1"/>
    </xf>
    <xf numFmtId="0" fontId="2" fillId="4" borderId="13" xfId="0" applyFont="1" applyFill="1" applyBorder="1" applyAlignment="1" applyProtection="1">
      <alignment horizontal="center" vertical="center"/>
      <protection hidden="1"/>
    </xf>
    <xf numFmtId="0" fontId="2" fillId="4" borderId="14" xfId="0" applyFont="1" applyFill="1" applyBorder="1" applyAlignment="1" applyProtection="1">
      <alignment horizontal="center" vertical="center"/>
      <protection hidden="1"/>
    </xf>
    <xf numFmtId="0" fontId="5" fillId="5" borderId="13" xfId="0" applyFont="1" applyFill="1" applyBorder="1" applyAlignment="1" applyProtection="1">
      <alignment horizontal="center" vertical="center" shrinkToFit="1"/>
      <protection hidden="1"/>
    </xf>
    <xf numFmtId="0" fontId="5" fillId="5" borderId="14" xfId="0" applyFont="1" applyFill="1" applyBorder="1" applyAlignment="1" applyProtection="1">
      <alignment horizontal="center" vertical="center" shrinkToFit="1"/>
      <protection hidden="1"/>
    </xf>
    <xf numFmtId="0" fontId="10" fillId="5" borderId="13" xfId="0" applyFont="1" applyFill="1" applyBorder="1" applyAlignment="1" applyProtection="1">
      <alignment horizontal="center" vertical="center"/>
      <protection hidden="1"/>
    </xf>
    <xf numFmtId="0" fontId="10" fillId="5" borderId="0" xfId="0" applyFont="1" applyFill="1" applyAlignment="1" applyProtection="1">
      <alignment horizontal="center" vertical="center"/>
      <protection hidden="1"/>
    </xf>
    <xf numFmtId="0" fontId="14" fillId="9" borderId="2" xfId="0" applyFont="1" applyFill="1" applyBorder="1" applyProtection="1">
      <alignment vertical="center"/>
      <protection hidden="1"/>
    </xf>
    <xf numFmtId="0" fontId="14" fillId="9" borderId="34" xfId="0" applyFont="1" applyFill="1" applyBorder="1" applyProtection="1">
      <alignment vertical="center"/>
      <protection hidden="1"/>
    </xf>
    <xf numFmtId="0" fontId="14" fillId="9" borderId="3" xfId="0" applyFont="1" applyFill="1" applyBorder="1" applyProtection="1">
      <alignment vertical="center"/>
      <protection hidden="1"/>
    </xf>
    <xf numFmtId="0" fontId="16" fillId="6" borderId="2" xfId="0" applyFont="1" applyFill="1" applyBorder="1" applyProtection="1">
      <alignment vertical="center"/>
      <protection hidden="1"/>
    </xf>
    <xf numFmtId="0" fontId="16" fillId="6" borderId="34" xfId="0" applyFont="1" applyFill="1" applyBorder="1" applyProtection="1">
      <alignment vertical="center"/>
      <protection hidden="1"/>
    </xf>
    <xf numFmtId="0" fontId="16" fillId="6" borderId="3" xfId="0" applyFont="1" applyFill="1" applyBorder="1" applyProtection="1">
      <alignment vertical="center"/>
      <protection hidden="1"/>
    </xf>
    <xf numFmtId="0" fontId="14" fillId="0" borderId="0" xfId="0" applyFont="1" applyProtection="1">
      <alignment vertical="center"/>
      <protection hidden="1"/>
    </xf>
  </cellXfs>
  <cellStyles count="2">
    <cellStyle name="桁区切り" xfId="1" builtinId="6"/>
    <cellStyle name="標準" xfId="0" builtinId="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CCFF99"/>
      <color rgb="FFFF00FF"/>
      <color rgb="FFFF0066"/>
      <color rgb="FF00FFFF"/>
      <color rgb="FFCCFF66"/>
      <color rgb="FFD5D5D5"/>
      <color rgb="FFFFFFFF"/>
      <color rgb="FFD0D4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33226</xdr:colOff>
      <xdr:row>43</xdr:row>
      <xdr:rowOff>44302</xdr:rowOff>
    </xdr:from>
    <xdr:to>
      <xdr:col>65</xdr:col>
      <xdr:colOff>509476</xdr:colOff>
      <xdr:row>58</xdr:row>
      <xdr:rowOff>110977</xdr:rowOff>
    </xdr:to>
    <xdr:pic>
      <xdr:nvPicPr>
        <xdr:cNvPr id="53" name="図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226" y="8118401"/>
          <a:ext cx="13899855" cy="2890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152402</xdr:colOff>
      <xdr:row>60</xdr:row>
      <xdr:rowOff>95249</xdr:rowOff>
    </xdr:from>
    <xdr:to>
      <xdr:col>61</xdr:col>
      <xdr:colOff>142876</xdr:colOff>
      <xdr:row>91</xdr:row>
      <xdr:rowOff>142875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915027" y="11506199"/>
          <a:ext cx="6010274" cy="5419726"/>
        </a:xfrm>
        <a:prstGeom prst="rect">
          <a:avLst/>
        </a:prstGeom>
      </xdr:spPr>
    </xdr:pic>
    <xdr:clientData/>
  </xdr:twoCellAnchor>
  <xdr:twoCellAnchor editAs="oneCell">
    <xdr:from>
      <xdr:col>0</xdr:col>
      <xdr:colOff>0</xdr:colOff>
      <xdr:row>58</xdr:row>
      <xdr:rowOff>114300</xdr:rowOff>
    </xdr:from>
    <xdr:to>
      <xdr:col>30</xdr:col>
      <xdr:colOff>76200</xdr:colOff>
      <xdr:row>78</xdr:row>
      <xdr:rowOff>123825</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972800"/>
          <a:ext cx="5838825"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133350</xdr:rowOff>
    </xdr:from>
    <xdr:to>
      <xdr:col>30</xdr:col>
      <xdr:colOff>47625</xdr:colOff>
      <xdr:row>102</xdr:row>
      <xdr:rowOff>0</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4516100"/>
          <a:ext cx="5810250" cy="398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114300</xdr:colOff>
      <xdr:row>66</xdr:row>
      <xdr:rowOff>47625</xdr:rowOff>
    </xdr:from>
    <xdr:to>
      <xdr:col>12</xdr:col>
      <xdr:colOff>171450</xdr:colOff>
      <xdr:row>67</xdr:row>
      <xdr:rowOff>142875</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1257300" y="12372975"/>
          <a:ext cx="1200150" cy="266700"/>
        </a:xfrm>
        <a:prstGeom prst="round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47</xdr:row>
      <xdr:rowOff>180974</xdr:rowOff>
    </xdr:from>
    <xdr:to>
      <xdr:col>19</xdr:col>
      <xdr:colOff>76200</xdr:colOff>
      <xdr:row>58</xdr:row>
      <xdr:rowOff>47625</xdr:rowOff>
    </xdr:to>
    <xdr:sp textlink="">
      <xdr:nvSpPr>
        <xdr:cNvPr id="10" name="角丸四角形 9">
          <a:extLst>
            <a:ext uri="{FF2B5EF4-FFF2-40B4-BE49-F238E27FC236}">
              <a16:creationId xmlns:a16="http://schemas.microsoft.com/office/drawing/2014/main" id="{00000000-0008-0000-0000-00000A000000}"/>
            </a:ext>
          </a:extLst>
        </xdr:cNvPr>
        <xdr:cNvSpPr/>
      </xdr:nvSpPr>
      <xdr:spPr>
        <a:xfrm>
          <a:off x="2895600" y="9115424"/>
          <a:ext cx="800100" cy="1962151"/>
        </a:xfrm>
        <a:prstGeom prst="round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85</xdr:row>
      <xdr:rowOff>0</xdr:rowOff>
    </xdr:from>
    <xdr:to>
      <xdr:col>19</xdr:col>
      <xdr:colOff>57150</xdr:colOff>
      <xdr:row>89</xdr:row>
      <xdr:rowOff>19050</xdr:rowOff>
    </xdr:to>
    <xdr:sp textlink="">
      <xdr:nvSpPr>
        <xdr:cNvPr id="11" name="角丸四角形 10">
          <a:extLst>
            <a:ext uri="{FF2B5EF4-FFF2-40B4-BE49-F238E27FC236}">
              <a16:creationId xmlns:a16="http://schemas.microsoft.com/office/drawing/2014/main" id="{00000000-0008-0000-0000-00000B000000}"/>
            </a:ext>
          </a:extLst>
        </xdr:cNvPr>
        <xdr:cNvSpPr/>
      </xdr:nvSpPr>
      <xdr:spPr>
        <a:xfrm>
          <a:off x="1562100" y="15582900"/>
          <a:ext cx="2114550" cy="704850"/>
        </a:xfrm>
        <a:prstGeom prst="roundRect">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161925</xdr:colOff>
      <xdr:row>47</xdr:row>
      <xdr:rowOff>180976</xdr:rowOff>
    </xdr:from>
    <xdr:to>
      <xdr:col>39</xdr:col>
      <xdr:colOff>161925</xdr:colOff>
      <xdr:row>58</xdr:row>
      <xdr:rowOff>38100</xdr:rowOff>
    </xdr:to>
    <xdr:sp textlink="">
      <xdr:nvSpPr>
        <xdr:cNvPr id="14" name="角丸四角形 13">
          <a:extLst>
            <a:ext uri="{FF2B5EF4-FFF2-40B4-BE49-F238E27FC236}">
              <a16:creationId xmlns:a16="http://schemas.microsoft.com/office/drawing/2014/main" id="{00000000-0008-0000-0000-00000E000000}"/>
            </a:ext>
          </a:extLst>
        </xdr:cNvPr>
        <xdr:cNvSpPr/>
      </xdr:nvSpPr>
      <xdr:spPr>
        <a:xfrm>
          <a:off x="6924675" y="9115426"/>
          <a:ext cx="800100" cy="1952624"/>
        </a:xfrm>
        <a:prstGeom prst="roundRect">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47</xdr:row>
      <xdr:rowOff>180976</xdr:rowOff>
    </xdr:from>
    <xdr:to>
      <xdr:col>50</xdr:col>
      <xdr:colOff>57150</xdr:colOff>
      <xdr:row>58</xdr:row>
      <xdr:rowOff>38100</xdr:rowOff>
    </xdr:to>
    <xdr:sp textlink="">
      <xdr:nvSpPr>
        <xdr:cNvPr id="17" name="角丸四角形 16">
          <a:extLst>
            <a:ext uri="{FF2B5EF4-FFF2-40B4-BE49-F238E27FC236}">
              <a16:creationId xmlns:a16="http://schemas.microsoft.com/office/drawing/2014/main" id="{00000000-0008-0000-0000-000011000000}"/>
            </a:ext>
          </a:extLst>
        </xdr:cNvPr>
        <xdr:cNvSpPr/>
      </xdr:nvSpPr>
      <xdr:spPr>
        <a:xfrm>
          <a:off x="8943975" y="9115426"/>
          <a:ext cx="800100" cy="1952624"/>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152400</xdr:colOff>
      <xdr:row>79</xdr:row>
      <xdr:rowOff>122196</xdr:rowOff>
    </xdr:from>
    <xdr:to>
      <xdr:col>45</xdr:col>
      <xdr:colOff>46999</xdr:colOff>
      <xdr:row>84</xdr:row>
      <xdr:rowOff>133350</xdr:rowOff>
    </xdr:to>
    <xdr:sp textlink="">
      <xdr:nvSpPr>
        <xdr:cNvPr id="19" name="角丸四角形 18">
          <a:extLst>
            <a:ext uri="{FF2B5EF4-FFF2-40B4-BE49-F238E27FC236}">
              <a16:creationId xmlns:a16="http://schemas.microsoft.com/office/drawing/2014/main" id="{00000000-0008-0000-0000-000013000000}"/>
            </a:ext>
          </a:extLst>
        </xdr:cNvPr>
        <xdr:cNvSpPr/>
      </xdr:nvSpPr>
      <xdr:spPr>
        <a:xfrm>
          <a:off x="7336882" y="14901612"/>
          <a:ext cx="1470610" cy="872791"/>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149521</xdr:colOff>
      <xdr:row>86</xdr:row>
      <xdr:rowOff>123824</xdr:rowOff>
    </xdr:from>
    <xdr:to>
      <xdr:col>45</xdr:col>
      <xdr:colOff>47626</xdr:colOff>
      <xdr:row>88</xdr:row>
      <xdr:rowOff>133349</xdr:rowOff>
    </xdr:to>
    <xdr:sp textlink="">
      <xdr:nvSpPr>
        <xdr:cNvPr id="21" name="角丸四角形 20">
          <a:extLst>
            <a:ext uri="{FF2B5EF4-FFF2-40B4-BE49-F238E27FC236}">
              <a16:creationId xmlns:a16="http://schemas.microsoft.com/office/drawing/2014/main" id="{00000000-0008-0000-0000-000015000000}"/>
            </a:ext>
          </a:extLst>
        </xdr:cNvPr>
        <xdr:cNvSpPr/>
      </xdr:nvSpPr>
      <xdr:spPr>
        <a:xfrm>
          <a:off x="7248969" y="15917603"/>
          <a:ext cx="1459762" cy="352868"/>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143982</xdr:colOff>
      <xdr:row>89</xdr:row>
      <xdr:rowOff>124596</xdr:rowOff>
    </xdr:from>
    <xdr:to>
      <xdr:col>45</xdr:col>
      <xdr:colOff>57150</xdr:colOff>
      <xdr:row>90</xdr:row>
      <xdr:rowOff>129359</xdr:rowOff>
    </xdr:to>
    <xdr:sp textlink="">
      <xdr:nvSpPr>
        <xdr:cNvPr id="22" name="角丸四角形 21">
          <a:extLst>
            <a:ext uri="{FF2B5EF4-FFF2-40B4-BE49-F238E27FC236}">
              <a16:creationId xmlns:a16="http://schemas.microsoft.com/office/drawing/2014/main" id="{00000000-0008-0000-0000-000016000000}"/>
            </a:ext>
          </a:extLst>
        </xdr:cNvPr>
        <xdr:cNvSpPr/>
      </xdr:nvSpPr>
      <xdr:spPr>
        <a:xfrm>
          <a:off x="7243430" y="16433390"/>
          <a:ext cx="1474825" cy="176434"/>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161925</xdr:colOff>
      <xdr:row>72</xdr:row>
      <xdr:rowOff>104775</xdr:rowOff>
    </xdr:from>
    <xdr:to>
      <xdr:col>45</xdr:col>
      <xdr:colOff>47625</xdr:colOff>
      <xdr:row>73</xdr:row>
      <xdr:rowOff>114300</xdr:rowOff>
    </xdr:to>
    <xdr:sp textlink="">
      <xdr:nvSpPr>
        <xdr:cNvPr id="23" name="角丸四角形 22">
          <a:extLst>
            <a:ext uri="{FF2B5EF4-FFF2-40B4-BE49-F238E27FC236}">
              <a16:creationId xmlns:a16="http://schemas.microsoft.com/office/drawing/2014/main" id="{00000000-0008-0000-0000-000017000000}"/>
            </a:ext>
          </a:extLst>
        </xdr:cNvPr>
        <xdr:cNvSpPr/>
      </xdr:nvSpPr>
      <xdr:spPr>
        <a:xfrm>
          <a:off x="7324725" y="13458825"/>
          <a:ext cx="1457325" cy="180975"/>
        </a:xfrm>
        <a:prstGeom prst="roundRect">
          <a:avLst/>
        </a:prstGeom>
        <a:no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161925</xdr:colOff>
      <xdr:row>73</xdr:row>
      <xdr:rowOff>133350</xdr:rowOff>
    </xdr:from>
    <xdr:to>
      <xdr:col>45</xdr:col>
      <xdr:colOff>47625</xdr:colOff>
      <xdr:row>74</xdr:row>
      <xdr:rowOff>133350</xdr:rowOff>
    </xdr:to>
    <xdr:sp textlink="">
      <xdr:nvSpPr>
        <xdr:cNvPr id="24" name="角丸四角形 23">
          <a:extLst>
            <a:ext uri="{FF2B5EF4-FFF2-40B4-BE49-F238E27FC236}">
              <a16:creationId xmlns:a16="http://schemas.microsoft.com/office/drawing/2014/main" id="{00000000-0008-0000-0000-000018000000}"/>
            </a:ext>
          </a:extLst>
        </xdr:cNvPr>
        <xdr:cNvSpPr/>
      </xdr:nvSpPr>
      <xdr:spPr>
        <a:xfrm>
          <a:off x="7324725" y="13830300"/>
          <a:ext cx="1457325" cy="171450"/>
        </a:xfrm>
        <a:prstGeom prst="roundRect">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142875</xdr:colOff>
      <xdr:row>58</xdr:row>
      <xdr:rowOff>0</xdr:rowOff>
    </xdr:from>
    <xdr:to>
      <xdr:col>15</xdr:col>
      <xdr:colOff>76200</xdr:colOff>
      <xdr:row>66</xdr:row>
      <xdr:rowOff>47625</xdr:rowOff>
    </xdr:to>
    <xdr:cxnSp macro="">
      <xdr:nvCxnSpPr>
        <xdr:cNvPr id="26" name="直線矢印コネクタ 25">
          <a:extLst>
            <a:ext uri="{FF2B5EF4-FFF2-40B4-BE49-F238E27FC236}">
              <a16:creationId xmlns:a16="http://schemas.microsoft.com/office/drawing/2014/main" id="{00000000-0008-0000-0000-00001A000000}"/>
            </a:ext>
          </a:extLst>
        </xdr:cNvPr>
        <xdr:cNvCxnSpPr>
          <a:stCxn id="2" idx="0"/>
        </xdr:cNvCxnSpPr>
      </xdr:nvCxnSpPr>
      <xdr:spPr>
        <a:xfrm flipV="1">
          <a:off x="1857375" y="11029950"/>
          <a:ext cx="1076325" cy="1514475"/>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171450</xdr:colOff>
      <xdr:row>58</xdr:row>
      <xdr:rowOff>0</xdr:rowOff>
    </xdr:from>
    <xdr:to>
      <xdr:col>35</xdr:col>
      <xdr:colOff>180975</xdr:colOff>
      <xdr:row>84</xdr:row>
      <xdr:rowOff>161925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1695450" y="11029950"/>
          <a:ext cx="5248275" cy="471487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57150</xdr:colOff>
      <xdr:row>57</xdr:row>
      <xdr:rowOff>180975</xdr:rowOff>
    </xdr:from>
    <xdr:to>
      <xdr:col>37</xdr:col>
      <xdr:colOff>190502</xdr:colOff>
      <xdr:row>72</xdr:row>
      <xdr:rowOff>104776</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flipV="1">
          <a:off x="3676650" y="11020425"/>
          <a:ext cx="3676652" cy="2609851"/>
        </a:xfrm>
        <a:prstGeom prst="straightConnector1">
          <a:avLst/>
        </a:prstGeom>
        <a:ln w="254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152400</xdr:colOff>
      <xdr:row>57</xdr:row>
      <xdr:rowOff>152400</xdr:rowOff>
    </xdr:from>
    <xdr:to>
      <xdr:col>45</xdr:col>
      <xdr:colOff>47625</xdr:colOff>
      <xdr:row>74</xdr:row>
      <xdr:rowOff>47625</xdr:rowOff>
    </xdr:to>
    <xdr:cxnSp macro="">
      <xdr:nvCxnSpPr>
        <xdr:cNvPr id="34" name="直線矢印コネクタ 33">
          <a:extLst>
            <a:ext uri="{FF2B5EF4-FFF2-40B4-BE49-F238E27FC236}">
              <a16:creationId xmlns:a16="http://schemas.microsoft.com/office/drawing/2014/main" id="{00000000-0008-0000-0000-000022000000}"/>
            </a:ext>
          </a:extLst>
        </xdr:cNvPr>
        <xdr:cNvCxnSpPr>
          <a:stCxn id="24" idx="3"/>
        </xdr:cNvCxnSpPr>
      </xdr:nvCxnSpPr>
      <xdr:spPr>
        <a:xfrm flipH="1" flipV="1">
          <a:off x="7715250" y="10991850"/>
          <a:ext cx="1066800" cy="2924175"/>
        </a:xfrm>
        <a:prstGeom prst="straightConnector1">
          <a:avLst/>
        </a:prstGeom>
        <a:ln w="254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103398</xdr:colOff>
      <xdr:row>82</xdr:row>
      <xdr:rowOff>37599</xdr:rowOff>
    </xdr:from>
    <xdr:to>
      <xdr:col>45</xdr:col>
      <xdr:colOff>105218</xdr:colOff>
      <xdr:row>90</xdr:row>
      <xdr:rowOff>49840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764503" y="15144692"/>
          <a:ext cx="1820" cy="1385613"/>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46123</xdr:colOff>
      <xdr:row>82</xdr:row>
      <xdr:rowOff>29283</xdr:rowOff>
    </xdr:from>
    <xdr:to>
      <xdr:col>45</xdr:col>
      <xdr:colOff>103264</xdr:colOff>
      <xdr:row>82</xdr:row>
      <xdr:rowOff>31562</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H="1">
          <a:off x="8806616" y="15325681"/>
          <a:ext cx="57141" cy="2279"/>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103397</xdr:colOff>
      <xdr:row>58</xdr:row>
      <xdr:rowOff>38100</xdr:rowOff>
    </xdr:from>
    <xdr:to>
      <xdr:col>48</xdr:col>
      <xdr:colOff>38101</xdr:colOff>
      <xdr:row>82</xdr:row>
      <xdr:rowOff>25066</xdr:rowOff>
    </xdr:to>
    <xdr:cxnSp macro="">
      <xdr:nvCxnSpPr>
        <xdr:cNvPr id="42" name="直線矢印コネクタ 41">
          <a:extLst>
            <a:ext uri="{FF2B5EF4-FFF2-40B4-BE49-F238E27FC236}">
              <a16:creationId xmlns:a16="http://schemas.microsoft.com/office/drawing/2014/main" id="{00000000-0008-0000-0000-00002A000000}"/>
            </a:ext>
          </a:extLst>
        </xdr:cNvPr>
        <xdr:cNvCxnSpPr>
          <a:endCxn id="17" idx="2"/>
        </xdr:cNvCxnSpPr>
      </xdr:nvCxnSpPr>
      <xdr:spPr>
        <a:xfrm flipV="1">
          <a:off x="8863890" y="11104646"/>
          <a:ext cx="508084" cy="42168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60462</xdr:colOff>
      <xdr:row>90</xdr:row>
      <xdr:rowOff>35885</xdr:rowOff>
    </xdr:from>
    <xdr:to>
      <xdr:col>45</xdr:col>
      <xdr:colOff>117603</xdr:colOff>
      <xdr:row>90</xdr:row>
      <xdr:rowOff>38164</xdr:rowOff>
    </xdr:to>
    <xdr:cxnSp macro="">
      <xdr:nvCxnSpPr>
        <xdr:cNvPr id="55" name="直線コネクタ 54">
          <a:extLst>
            <a:ext uri="{FF2B5EF4-FFF2-40B4-BE49-F238E27FC236}">
              <a16:creationId xmlns:a16="http://schemas.microsoft.com/office/drawing/2014/main" id="{00000000-0008-0000-0000-000037000000}"/>
            </a:ext>
          </a:extLst>
        </xdr:cNvPr>
        <xdr:cNvCxnSpPr/>
      </xdr:nvCxnSpPr>
      <xdr:spPr>
        <a:xfrm flipH="1">
          <a:off x="8721567" y="16516350"/>
          <a:ext cx="57141" cy="2279"/>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50109</xdr:colOff>
      <xdr:row>87</xdr:row>
      <xdr:rowOff>128114</xdr:rowOff>
    </xdr:from>
    <xdr:to>
      <xdr:col>45</xdr:col>
      <xdr:colOff>107250</xdr:colOff>
      <xdr:row>87</xdr:row>
      <xdr:rowOff>130393</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flipH="1">
          <a:off x="8810602" y="16286149"/>
          <a:ext cx="57141" cy="2279"/>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62</xdr:col>
      <xdr:colOff>30772</xdr:colOff>
      <xdr:row>58</xdr:row>
      <xdr:rowOff>181539</xdr:rowOff>
    </xdr:from>
    <xdr:to>
      <xdr:col>75</xdr:col>
      <xdr:colOff>104775</xdr:colOff>
      <xdr:row>92</xdr:row>
      <xdr:rowOff>4653</xdr:rowOff>
    </xdr:to>
    <xdr:pic>
      <xdr:nvPicPr>
        <xdr:cNvPr id="62" name="図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03697" y="11020989"/>
          <a:ext cx="8494103" cy="5747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64</xdr:col>
      <xdr:colOff>142875</xdr:colOff>
      <xdr:row>47</xdr:row>
      <xdr:rowOff>180975</xdr:rowOff>
    </xdr:from>
    <xdr:to>
      <xdr:col>65</xdr:col>
      <xdr:colOff>257175</xdr:colOff>
      <xdr:row>58</xdr:row>
      <xdr:rowOff>47624</xdr:rowOff>
    </xdr:to>
    <xdr:sp textlink="">
      <xdr:nvSpPr>
        <xdr:cNvPr id="64" name="角丸四角形 63">
          <a:extLst>
            <a:ext uri="{FF2B5EF4-FFF2-40B4-BE49-F238E27FC236}">
              <a16:creationId xmlns:a16="http://schemas.microsoft.com/office/drawing/2014/main" id="{00000000-0008-0000-0000-000040000000}"/>
            </a:ext>
          </a:extLst>
        </xdr:cNvPr>
        <xdr:cNvSpPr/>
      </xdr:nvSpPr>
      <xdr:spPr>
        <a:xfrm>
          <a:off x="12992100" y="9115425"/>
          <a:ext cx="800100" cy="1962149"/>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383196</xdr:colOff>
      <xdr:row>68</xdr:row>
      <xdr:rowOff>38664</xdr:rowOff>
    </xdr:from>
    <xdr:to>
      <xdr:col>74</xdr:col>
      <xdr:colOff>247649</xdr:colOff>
      <xdr:row>69</xdr:row>
      <xdr:rowOff>104775</xdr:rowOff>
    </xdr:to>
    <xdr:sp textlink="">
      <xdr:nvSpPr>
        <xdr:cNvPr id="65" name="角丸四角形 64">
          <a:extLst>
            <a:ext uri="{FF2B5EF4-FFF2-40B4-BE49-F238E27FC236}">
              <a16:creationId xmlns:a16="http://schemas.microsoft.com/office/drawing/2014/main" id="{00000000-0008-0000-0000-000041000000}"/>
            </a:ext>
          </a:extLst>
        </xdr:cNvPr>
        <xdr:cNvSpPr/>
      </xdr:nvSpPr>
      <xdr:spPr>
        <a:xfrm>
          <a:off x="18718821" y="1268786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70</xdr:row>
      <xdr:rowOff>162489</xdr:rowOff>
    </xdr:from>
    <xdr:to>
      <xdr:col>74</xdr:col>
      <xdr:colOff>247650</xdr:colOff>
      <xdr:row>72</xdr:row>
      <xdr:rowOff>57150</xdr:rowOff>
    </xdr:to>
    <xdr:sp textlink="">
      <xdr:nvSpPr>
        <xdr:cNvPr id="66" name="角丸四角形 65">
          <a:extLst>
            <a:ext uri="{FF2B5EF4-FFF2-40B4-BE49-F238E27FC236}">
              <a16:creationId xmlns:a16="http://schemas.microsoft.com/office/drawing/2014/main" id="{00000000-0008-0000-0000-000042000000}"/>
            </a:ext>
          </a:extLst>
        </xdr:cNvPr>
        <xdr:cNvSpPr/>
      </xdr:nvSpPr>
      <xdr:spPr>
        <a:xfrm>
          <a:off x="18718822" y="13154589"/>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73</xdr:row>
      <xdr:rowOff>86289</xdr:rowOff>
    </xdr:from>
    <xdr:to>
      <xdr:col>74</xdr:col>
      <xdr:colOff>247650</xdr:colOff>
      <xdr:row>74</xdr:row>
      <xdr:rowOff>152400</xdr:rowOff>
    </xdr:to>
    <xdr:sp textlink="">
      <xdr:nvSpPr>
        <xdr:cNvPr id="67" name="角丸四角形 66">
          <a:extLst>
            <a:ext uri="{FF2B5EF4-FFF2-40B4-BE49-F238E27FC236}">
              <a16:creationId xmlns:a16="http://schemas.microsoft.com/office/drawing/2014/main" id="{00000000-0008-0000-0000-000043000000}"/>
            </a:ext>
          </a:extLst>
        </xdr:cNvPr>
        <xdr:cNvSpPr/>
      </xdr:nvSpPr>
      <xdr:spPr>
        <a:xfrm>
          <a:off x="18718822" y="13592739"/>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76</xdr:row>
      <xdr:rowOff>29139</xdr:rowOff>
    </xdr:from>
    <xdr:to>
      <xdr:col>74</xdr:col>
      <xdr:colOff>247650</xdr:colOff>
      <xdr:row>77</xdr:row>
      <xdr:rowOff>95250</xdr:rowOff>
    </xdr:to>
    <xdr:sp textlink="">
      <xdr:nvSpPr>
        <xdr:cNvPr id="69" name="角丸四角形 68">
          <a:extLst>
            <a:ext uri="{FF2B5EF4-FFF2-40B4-BE49-F238E27FC236}">
              <a16:creationId xmlns:a16="http://schemas.microsoft.com/office/drawing/2014/main" id="{00000000-0008-0000-0000-000045000000}"/>
            </a:ext>
          </a:extLst>
        </xdr:cNvPr>
        <xdr:cNvSpPr/>
      </xdr:nvSpPr>
      <xdr:spPr>
        <a:xfrm>
          <a:off x="18718822" y="14049939"/>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78</xdr:row>
      <xdr:rowOff>114864</xdr:rowOff>
    </xdr:from>
    <xdr:to>
      <xdr:col>74</xdr:col>
      <xdr:colOff>247650</xdr:colOff>
      <xdr:row>80</xdr:row>
      <xdr:rowOff>9525</xdr:rowOff>
    </xdr:to>
    <xdr:sp textlink="">
      <xdr:nvSpPr>
        <xdr:cNvPr id="70" name="角丸四角形 69">
          <a:extLst>
            <a:ext uri="{FF2B5EF4-FFF2-40B4-BE49-F238E27FC236}">
              <a16:creationId xmlns:a16="http://schemas.microsoft.com/office/drawing/2014/main" id="{00000000-0008-0000-0000-000046000000}"/>
            </a:ext>
          </a:extLst>
        </xdr:cNvPr>
        <xdr:cNvSpPr/>
      </xdr:nvSpPr>
      <xdr:spPr>
        <a:xfrm>
          <a:off x="18718822" y="1449761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81</xdr:row>
      <xdr:rowOff>57714</xdr:rowOff>
    </xdr:from>
    <xdr:to>
      <xdr:col>74</xdr:col>
      <xdr:colOff>247650</xdr:colOff>
      <xdr:row>82</xdr:row>
      <xdr:rowOff>123825</xdr:rowOff>
    </xdr:to>
    <xdr:sp textlink="">
      <xdr:nvSpPr>
        <xdr:cNvPr id="71" name="角丸四角形 70">
          <a:extLst>
            <a:ext uri="{FF2B5EF4-FFF2-40B4-BE49-F238E27FC236}">
              <a16:creationId xmlns:a16="http://schemas.microsoft.com/office/drawing/2014/main" id="{00000000-0008-0000-0000-000047000000}"/>
            </a:ext>
          </a:extLst>
        </xdr:cNvPr>
        <xdr:cNvSpPr/>
      </xdr:nvSpPr>
      <xdr:spPr>
        <a:xfrm>
          <a:off x="18718822" y="1495481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83</xdr:row>
      <xdr:rowOff>152964</xdr:rowOff>
    </xdr:from>
    <xdr:to>
      <xdr:col>74</xdr:col>
      <xdr:colOff>247650</xdr:colOff>
      <xdr:row>85</xdr:row>
      <xdr:rowOff>47625</xdr:rowOff>
    </xdr:to>
    <xdr:sp textlink="">
      <xdr:nvSpPr>
        <xdr:cNvPr id="72" name="角丸四角形 71">
          <a:extLst>
            <a:ext uri="{FF2B5EF4-FFF2-40B4-BE49-F238E27FC236}">
              <a16:creationId xmlns:a16="http://schemas.microsoft.com/office/drawing/2014/main" id="{00000000-0008-0000-0000-000048000000}"/>
            </a:ext>
          </a:extLst>
        </xdr:cNvPr>
        <xdr:cNvSpPr/>
      </xdr:nvSpPr>
      <xdr:spPr>
        <a:xfrm>
          <a:off x="18718822" y="1539296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392722</xdr:colOff>
      <xdr:row>86</xdr:row>
      <xdr:rowOff>95814</xdr:rowOff>
    </xdr:from>
    <xdr:to>
      <xdr:col>74</xdr:col>
      <xdr:colOff>257175</xdr:colOff>
      <xdr:row>87</xdr:row>
      <xdr:rowOff>161925</xdr:rowOff>
    </xdr:to>
    <xdr:sp textlink="">
      <xdr:nvSpPr>
        <xdr:cNvPr id="73" name="角丸四角形 72">
          <a:extLst>
            <a:ext uri="{FF2B5EF4-FFF2-40B4-BE49-F238E27FC236}">
              <a16:creationId xmlns:a16="http://schemas.microsoft.com/office/drawing/2014/main" id="{00000000-0008-0000-0000-000049000000}"/>
            </a:ext>
          </a:extLst>
        </xdr:cNvPr>
        <xdr:cNvSpPr/>
      </xdr:nvSpPr>
      <xdr:spPr>
        <a:xfrm>
          <a:off x="18728347" y="1585016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383197</xdr:colOff>
      <xdr:row>89</xdr:row>
      <xdr:rowOff>19614</xdr:rowOff>
    </xdr:from>
    <xdr:to>
      <xdr:col>74</xdr:col>
      <xdr:colOff>247650</xdr:colOff>
      <xdr:row>90</xdr:row>
      <xdr:rowOff>85725</xdr:rowOff>
    </xdr:to>
    <xdr:sp textlink="">
      <xdr:nvSpPr>
        <xdr:cNvPr id="74" name="角丸四角形 73">
          <a:extLst>
            <a:ext uri="{FF2B5EF4-FFF2-40B4-BE49-F238E27FC236}">
              <a16:creationId xmlns:a16="http://schemas.microsoft.com/office/drawing/2014/main" id="{00000000-0008-0000-0000-00004A000000}"/>
            </a:ext>
          </a:extLst>
        </xdr:cNvPr>
        <xdr:cNvSpPr/>
      </xdr:nvSpPr>
      <xdr:spPr>
        <a:xfrm>
          <a:off x="18718822" y="16288314"/>
          <a:ext cx="1236053" cy="237561"/>
        </a:xfrm>
        <a:prstGeom prst="roundRect">
          <a:avLst/>
        </a:prstGeom>
        <a:no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202222</xdr:colOff>
      <xdr:row>69</xdr:row>
      <xdr:rowOff>564</xdr:rowOff>
    </xdr:from>
    <xdr:to>
      <xdr:col>72</xdr:col>
      <xdr:colOff>219075</xdr:colOff>
      <xdr:row>89</xdr:row>
      <xdr:rowOff>142875</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18537847" y="12840264"/>
          <a:ext cx="16853" cy="3571311"/>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257175</xdr:colOff>
      <xdr:row>58</xdr:row>
      <xdr:rowOff>0</xdr:rowOff>
    </xdr:from>
    <xdr:to>
      <xdr:col>72</xdr:col>
      <xdr:colOff>219078</xdr:colOff>
      <xdr:row>79</xdr:row>
      <xdr:rowOff>85727</xdr:rowOff>
    </xdr:to>
    <xdr:cxnSp macro="">
      <xdr:nvCxnSpPr>
        <xdr:cNvPr id="77" name="直線矢印コネクタ 76">
          <a:extLst>
            <a:ext uri="{FF2B5EF4-FFF2-40B4-BE49-F238E27FC236}">
              <a16:creationId xmlns:a16="http://schemas.microsoft.com/office/drawing/2014/main" id="{00000000-0008-0000-0000-00004D000000}"/>
            </a:ext>
          </a:extLst>
        </xdr:cNvPr>
        <xdr:cNvCxnSpPr/>
      </xdr:nvCxnSpPr>
      <xdr:spPr>
        <a:xfrm flipH="1" flipV="1">
          <a:off x="13792200" y="11029950"/>
          <a:ext cx="4762503" cy="3781427"/>
        </a:xfrm>
        <a:prstGeom prst="straightConnector1">
          <a:avLst/>
        </a:prstGeom>
        <a:ln w="25400">
          <a:solidFill>
            <a:srgbClr val="FF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200025</xdr:colOff>
      <xdr:row>69</xdr:row>
      <xdr:rowOff>0</xdr:rowOff>
    </xdr:from>
    <xdr:to>
      <xdr:col>72</xdr:col>
      <xdr:colOff>361950</xdr:colOff>
      <xdr:row>69</xdr:row>
      <xdr:rowOff>0</xdr:rowOff>
    </xdr:to>
    <xdr:cxnSp macro="">
      <xdr:nvCxnSpPr>
        <xdr:cNvPr id="79" name="直線コネクタ 78">
          <a:extLst>
            <a:ext uri="{FF2B5EF4-FFF2-40B4-BE49-F238E27FC236}">
              <a16:creationId xmlns:a16="http://schemas.microsoft.com/office/drawing/2014/main" id="{00000000-0008-0000-0000-00004F000000}"/>
            </a:ext>
          </a:extLst>
        </xdr:cNvPr>
        <xdr:cNvCxnSpPr/>
      </xdr:nvCxnSpPr>
      <xdr:spPr>
        <a:xfrm>
          <a:off x="18535650" y="12839700"/>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221272</xdr:colOff>
      <xdr:row>71</xdr:row>
      <xdr:rowOff>105339</xdr:rowOff>
    </xdr:from>
    <xdr:to>
      <xdr:col>72</xdr:col>
      <xdr:colOff>383197</xdr:colOff>
      <xdr:row>71</xdr:row>
      <xdr:rowOff>105339</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18556897" y="13287939"/>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211747</xdr:colOff>
      <xdr:row>74</xdr:row>
      <xdr:rowOff>19614</xdr:rowOff>
    </xdr:from>
    <xdr:to>
      <xdr:col>72</xdr:col>
      <xdr:colOff>373672</xdr:colOff>
      <xdr:row>74</xdr:row>
      <xdr:rowOff>19614</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18547372" y="13716564"/>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202222</xdr:colOff>
      <xdr:row>76</xdr:row>
      <xdr:rowOff>143439</xdr:rowOff>
    </xdr:from>
    <xdr:to>
      <xdr:col>72</xdr:col>
      <xdr:colOff>364147</xdr:colOff>
      <xdr:row>76</xdr:row>
      <xdr:rowOff>143439</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18537847" y="14183289"/>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211747</xdr:colOff>
      <xdr:row>79</xdr:row>
      <xdr:rowOff>67239</xdr:rowOff>
    </xdr:from>
    <xdr:to>
      <xdr:col>72</xdr:col>
      <xdr:colOff>373672</xdr:colOff>
      <xdr:row>79</xdr:row>
      <xdr:rowOff>67239</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18547372" y="14621439"/>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202222</xdr:colOff>
      <xdr:row>89</xdr:row>
      <xdr:rowOff>143439</xdr:rowOff>
    </xdr:from>
    <xdr:to>
      <xdr:col>72</xdr:col>
      <xdr:colOff>364147</xdr:colOff>
      <xdr:row>89</xdr:row>
      <xdr:rowOff>143439</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18537847" y="16412139"/>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211747</xdr:colOff>
      <xdr:row>87</xdr:row>
      <xdr:rowOff>48189</xdr:rowOff>
    </xdr:from>
    <xdr:to>
      <xdr:col>72</xdr:col>
      <xdr:colOff>373672</xdr:colOff>
      <xdr:row>87</xdr:row>
      <xdr:rowOff>48189</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8547372" y="15973989"/>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211747</xdr:colOff>
      <xdr:row>84</xdr:row>
      <xdr:rowOff>95814</xdr:rowOff>
    </xdr:from>
    <xdr:to>
      <xdr:col>72</xdr:col>
      <xdr:colOff>373672</xdr:colOff>
      <xdr:row>84</xdr:row>
      <xdr:rowOff>95814</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18547372" y="15507264"/>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202222</xdr:colOff>
      <xdr:row>81</xdr:row>
      <xdr:rowOff>152964</xdr:rowOff>
    </xdr:from>
    <xdr:to>
      <xdr:col>72</xdr:col>
      <xdr:colOff>364147</xdr:colOff>
      <xdr:row>81</xdr:row>
      <xdr:rowOff>152964</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8537847" y="15050064"/>
          <a:ext cx="161925" cy="0"/>
        </a:xfrm>
        <a:prstGeom prst="line">
          <a:avLst/>
        </a:prstGeom>
        <a:ln w="254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47624</xdr:colOff>
      <xdr:row>91</xdr:row>
      <xdr:rowOff>38100</xdr:rowOff>
    </xdr:from>
    <xdr:to>
      <xdr:col>16</xdr:col>
      <xdr:colOff>171450</xdr:colOff>
      <xdr:row>97</xdr:row>
      <xdr:rowOff>142875</xdr:rowOff>
    </xdr:to>
    <xdr:sp textlink="">
      <xdr:nvSpPr>
        <xdr:cNvPr id="93" name="角丸四角形吹き出し 92">
          <a:extLst>
            <a:ext uri="{FF2B5EF4-FFF2-40B4-BE49-F238E27FC236}">
              <a16:creationId xmlns:a16="http://schemas.microsoft.com/office/drawing/2014/main" id="{00000000-0008-0000-0000-00005D000000}"/>
            </a:ext>
          </a:extLst>
        </xdr:cNvPr>
        <xdr:cNvSpPr/>
      </xdr:nvSpPr>
      <xdr:spPr>
        <a:xfrm>
          <a:off x="1000124" y="16649700"/>
          <a:ext cx="2219326" cy="1133475"/>
        </a:xfrm>
        <a:prstGeom prst="wedgeRoundRectCallout">
          <a:avLst>
            <a:gd name="adj1" fmla="val -10307"/>
            <a:gd name="adj2" fmla="val -81402"/>
            <a:gd name="adj3" fmla="val 16667"/>
          </a:avLst>
        </a:prstGeom>
        <a:solidFill>
          <a:schemeClr val="bg1"/>
        </a:solid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公的年金等の収入</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令和</a:t>
          </a:r>
          <a:r>
            <a:rPr kumimoji="1" lang="ja-JP" altLang="en-US" sz="1100" b="1">
              <a:solidFill>
                <a:schemeClr val="tx1"/>
              </a:solidFill>
              <a:latin typeface="ＭＳ ゴシック" panose="020B0609070205080204" pitchFamily="49" charset="-128"/>
              <a:ea typeface="ＭＳ ゴシック" panose="020B0609070205080204" pitchFamily="49" charset="-128"/>
            </a:rPr>
            <a:t>７</a:t>
          </a:r>
          <a:r>
            <a:rPr kumimoji="1" lang="ja-JP" altLang="en-US" sz="1100">
              <a:solidFill>
                <a:schemeClr val="tx1"/>
              </a:solidFill>
              <a:latin typeface="ＭＳ ゴシック" panose="020B0609070205080204" pitchFamily="49" charset="-128"/>
              <a:ea typeface="ＭＳ ゴシック" panose="020B0609070205080204" pitchFamily="49" charset="-128"/>
            </a:rPr>
            <a:t>年分　公的年金等の源泉徴収票の</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支払金額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に記載されている金額を入力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複数ある場合は合計額を入力</a:t>
          </a:r>
        </a:p>
      </xdr:txBody>
    </xdr:sp>
    <xdr:clientData/>
  </xdr:twoCellAnchor>
  <xdr:twoCellAnchor>
    <xdr:from>
      <xdr:col>4</xdr:col>
      <xdr:colOff>47625</xdr:colOff>
      <xdr:row>70</xdr:row>
      <xdr:rowOff>1</xdr:rowOff>
    </xdr:from>
    <xdr:to>
      <xdr:col>15</xdr:col>
      <xdr:colOff>161925</xdr:colOff>
      <xdr:row>76</xdr:row>
      <xdr:rowOff>95251</xdr:rowOff>
    </xdr:to>
    <xdr:sp textlink="">
      <xdr:nvSpPr>
        <xdr:cNvPr id="94" name="角丸四角形吹き出し 93">
          <a:extLst>
            <a:ext uri="{FF2B5EF4-FFF2-40B4-BE49-F238E27FC236}">
              <a16:creationId xmlns:a16="http://schemas.microsoft.com/office/drawing/2014/main" id="{00000000-0008-0000-0000-00005E000000}"/>
            </a:ext>
          </a:extLst>
        </xdr:cNvPr>
        <xdr:cNvSpPr/>
      </xdr:nvSpPr>
      <xdr:spPr>
        <a:xfrm>
          <a:off x="809625" y="13011151"/>
          <a:ext cx="2209800" cy="1123950"/>
        </a:xfrm>
        <a:prstGeom prst="wedgeRoundRectCallout">
          <a:avLst>
            <a:gd name="adj1" fmla="val -10307"/>
            <a:gd name="adj2" fmla="val -81402"/>
            <a:gd name="adj3" fmla="val 16667"/>
          </a:avLst>
        </a:prstGeom>
        <a:solidFill>
          <a:schemeClr val="bg1"/>
        </a:solid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給与収入</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令和</a:t>
          </a:r>
          <a:r>
            <a:rPr kumimoji="1" lang="ja-JP" altLang="en-US" sz="1100" b="1">
              <a:solidFill>
                <a:schemeClr val="tx1"/>
              </a:solidFill>
              <a:latin typeface="ＭＳ ゴシック" panose="020B0609070205080204" pitchFamily="49" charset="-128"/>
              <a:ea typeface="ＭＳ ゴシック" panose="020B0609070205080204" pitchFamily="49" charset="-128"/>
            </a:rPr>
            <a:t>７</a:t>
          </a:r>
          <a:r>
            <a:rPr kumimoji="1" lang="ja-JP" altLang="en-US" sz="1100">
              <a:solidFill>
                <a:schemeClr val="tx1"/>
              </a:solidFill>
              <a:latin typeface="ＭＳ ゴシック" panose="020B0609070205080204" pitchFamily="49" charset="-128"/>
              <a:ea typeface="ＭＳ ゴシック" panose="020B0609070205080204" pitchFamily="49" charset="-128"/>
            </a:rPr>
            <a:t>年分　給与所得の源泉徴収票の</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支払金額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に記載されている金額を入力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複数ある場合は合計額を入力</a:t>
          </a:r>
        </a:p>
      </xdr:txBody>
    </xdr:sp>
    <xdr:clientData/>
  </xdr:twoCellAnchor>
  <xdr:twoCellAnchor>
    <xdr:from>
      <xdr:col>46</xdr:col>
      <xdr:colOff>2214</xdr:colOff>
      <xdr:row>83</xdr:row>
      <xdr:rowOff>47624</xdr:rowOff>
    </xdr:from>
    <xdr:to>
      <xdr:col>61</xdr:col>
      <xdr:colOff>180975</xdr:colOff>
      <xdr:row>91</xdr:row>
      <xdr:rowOff>99679</xdr:rowOff>
    </xdr:to>
    <xdr:sp textlink="">
      <xdr:nvSpPr>
        <xdr:cNvPr id="95" name="角丸四角形吹き出し 94">
          <a:extLst>
            <a:ext uri="{FF2B5EF4-FFF2-40B4-BE49-F238E27FC236}">
              <a16:creationId xmlns:a16="http://schemas.microsoft.com/office/drawing/2014/main" id="{00000000-0008-0000-0000-00005F000000}"/>
            </a:ext>
          </a:extLst>
        </xdr:cNvPr>
        <xdr:cNvSpPr/>
      </xdr:nvSpPr>
      <xdr:spPr>
        <a:xfrm>
          <a:off x="8851604" y="15210095"/>
          <a:ext cx="3003034" cy="1381125"/>
        </a:xfrm>
        <a:prstGeom prst="wedgeRoundRectCallout">
          <a:avLst>
            <a:gd name="adj1" fmla="val -49246"/>
            <a:gd name="adj2" fmla="val -62252"/>
            <a:gd name="adj3" fmla="val 16667"/>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その他の所得</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確定申告書（令和</a:t>
          </a:r>
          <a:r>
            <a:rPr kumimoji="1" lang="ja-JP" altLang="en-US" sz="1100" b="1">
              <a:solidFill>
                <a:schemeClr val="tx1"/>
              </a:solidFill>
              <a:latin typeface="ＭＳ ゴシック" panose="020B0609070205080204" pitchFamily="49" charset="-128"/>
              <a:ea typeface="ＭＳ ゴシック" panose="020B0609070205080204" pitchFamily="49" charset="-128"/>
            </a:rPr>
            <a:t>７</a:t>
          </a:r>
          <a:r>
            <a:rPr kumimoji="1" lang="ja-JP" altLang="en-US" sz="1100">
              <a:solidFill>
                <a:schemeClr val="tx1"/>
              </a:solidFill>
              <a:latin typeface="ＭＳ ゴシック" panose="020B0609070205080204" pitchFamily="49" charset="-128"/>
              <a:ea typeface="ＭＳ ゴシック" panose="020B0609070205080204" pitchFamily="49" charset="-128"/>
            </a:rPr>
            <a:t>年分）、住民税申告書（令和</a:t>
          </a:r>
          <a:r>
            <a:rPr kumimoji="1" lang="ja-JP" altLang="en-US" sz="1100" b="1">
              <a:solidFill>
                <a:schemeClr val="tx1"/>
              </a:solidFill>
              <a:latin typeface="ＭＳ ゴシック" panose="020B0609070205080204" pitchFamily="49" charset="-128"/>
              <a:ea typeface="ＭＳ ゴシック" panose="020B0609070205080204" pitchFamily="49" charset="-128"/>
            </a:rPr>
            <a:t>８</a:t>
          </a:r>
          <a:r>
            <a:rPr kumimoji="1" lang="ja-JP" altLang="en-US" sz="1100">
              <a:solidFill>
                <a:schemeClr val="tx1"/>
              </a:solidFill>
              <a:latin typeface="ＭＳ ゴシック" panose="020B0609070205080204" pitchFamily="49" charset="-128"/>
              <a:ea typeface="ＭＳ ゴシック" panose="020B0609070205080204" pitchFamily="49" charset="-128"/>
            </a:rPr>
            <a:t>年度）に記載の</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所得金額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の合計額（給与、公的年金等を除く）を入力</a:t>
          </a:r>
        </a:p>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分離譲渡所得等がある場合はお問い合わせください。</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66</xdr:col>
      <xdr:colOff>66675</xdr:colOff>
      <xdr:row>80</xdr:row>
      <xdr:rowOff>19614</xdr:rowOff>
    </xdr:from>
    <xdr:to>
      <xdr:col>71</xdr:col>
      <xdr:colOff>278424</xdr:colOff>
      <xdr:row>86</xdr:row>
      <xdr:rowOff>0</xdr:rowOff>
    </xdr:to>
    <xdr:sp textlink="">
      <xdr:nvSpPr>
        <xdr:cNvPr id="97" name="角丸四角形吹き出し 96">
          <a:extLst>
            <a:ext uri="{FF2B5EF4-FFF2-40B4-BE49-F238E27FC236}">
              <a16:creationId xmlns:a16="http://schemas.microsoft.com/office/drawing/2014/main" id="{00000000-0008-0000-0000-000061000000}"/>
            </a:ext>
          </a:extLst>
        </xdr:cNvPr>
        <xdr:cNvSpPr/>
      </xdr:nvSpPr>
      <xdr:spPr>
        <a:xfrm>
          <a:off x="14287500" y="14916714"/>
          <a:ext cx="3640749" cy="1009086"/>
        </a:xfrm>
        <a:prstGeom prst="wedgeRoundRectCallout">
          <a:avLst>
            <a:gd name="adj1" fmla="val 65457"/>
            <a:gd name="adj2" fmla="val -59117"/>
            <a:gd name="adj3" fmla="val 16667"/>
          </a:avLst>
        </a:prstGeom>
        <a:solidFill>
          <a:schemeClr val="bg1"/>
        </a:solidFill>
        <a:ln w="25400">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固定資産税情報</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国保加入者が三股町に固定資産（土地、家屋）をお持ちの場合は、固定資産の課税明細書（令和</a:t>
          </a:r>
          <a:r>
            <a:rPr kumimoji="1" lang="ja-JP" altLang="en-US" sz="1100" b="1">
              <a:solidFill>
                <a:schemeClr val="tx1"/>
              </a:solidFill>
              <a:latin typeface="ＭＳ ゴシック" panose="020B0609070205080204" pitchFamily="49" charset="-128"/>
              <a:ea typeface="ＭＳ ゴシック" panose="020B0609070205080204" pitchFamily="49" charset="-128"/>
            </a:rPr>
            <a:t>８</a:t>
          </a:r>
          <a:r>
            <a:rPr kumimoji="1" lang="ja-JP" altLang="en-US" sz="1100">
              <a:solidFill>
                <a:schemeClr val="tx1"/>
              </a:solidFill>
              <a:latin typeface="ＭＳ ゴシック" panose="020B0609070205080204" pitchFamily="49" charset="-128"/>
              <a:ea typeface="ＭＳ ゴシック" panose="020B0609070205080204" pitchFamily="49" charset="-128"/>
            </a:rPr>
            <a:t>年度）に記載の</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税額相当額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の合計額を入力</a:t>
          </a:r>
        </a:p>
      </xdr:txBody>
    </xdr:sp>
    <xdr:clientData/>
  </xdr:twoCellAnchor>
  <xdr:twoCellAnchor>
    <xdr:from>
      <xdr:col>33</xdr:col>
      <xdr:colOff>104775</xdr:colOff>
      <xdr:row>63</xdr:row>
      <xdr:rowOff>123825</xdr:rowOff>
    </xdr:from>
    <xdr:to>
      <xdr:col>41</xdr:col>
      <xdr:colOff>114300</xdr:colOff>
      <xdr:row>68</xdr:row>
      <xdr:rowOff>85725</xdr:rowOff>
    </xdr:to>
    <xdr:sp textlink="">
      <xdr:nvSpPr>
        <xdr:cNvPr id="98" name="角丸四角形吹き出し 97">
          <a:extLst>
            <a:ext uri="{FF2B5EF4-FFF2-40B4-BE49-F238E27FC236}">
              <a16:creationId xmlns:a16="http://schemas.microsoft.com/office/drawing/2014/main" id="{00000000-0008-0000-0000-000062000000}"/>
            </a:ext>
          </a:extLst>
        </xdr:cNvPr>
        <xdr:cNvSpPr/>
      </xdr:nvSpPr>
      <xdr:spPr>
        <a:xfrm>
          <a:off x="6467475" y="12106275"/>
          <a:ext cx="1609725" cy="819150"/>
        </a:xfrm>
        <a:prstGeom prst="wedgeRoundRectCallout">
          <a:avLst>
            <a:gd name="adj1" fmla="val 3022"/>
            <a:gd name="adj2" fmla="val 132697"/>
            <a:gd name="adj3" fmla="val 16667"/>
          </a:avLst>
        </a:prstGeom>
        <a:solidFill>
          <a:schemeClr val="bg1"/>
        </a:solidFill>
        <a:ln w="254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給与収入</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50">
              <a:solidFill>
                <a:schemeClr val="tx1"/>
              </a:solidFill>
              <a:latin typeface="ＭＳ ゴシック" panose="020B0609070205080204" pitchFamily="49" charset="-128"/>
              <a:ea typeface="ＭＳ ゴシック" panose="020B0609070205080204" pitchFamily="49" charset="-128"/>
            </a:rPr>
            <a:t>確定申告書や住民税申告書の場合は</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収入金額等</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の</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給与</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の額を入力</a:t>
          </a:r>
        </a:p>
      </xdr:txBody>
    </xdr:sp>
    <xdr:clientData/>
  </xdr:twoCellAnchor>
  <xdr:twoCellAnchor>
    <xdr:from>
      <xdr:col>22</xdr:col>
      <xdr:colOff>133350</xdr:colOff>
      <xdr:row>75</xdr:row>
      <xdr:rowOff>123824</xdr:rowOff>
    </xdr:from>
    <xdr:to>
      <xdr:col>31</xdr:col>
      <xdr:colOff>38100</xdr:colOff>
      <xdr:row>80</xdr:row>
      <xdr:rowOff>143982</xdr:rowOff>
    </xdr:to>
    <xdr:sp textlink="">
      <xdr:nvSpPr>
        <xdr:cNvPr id="99" name="角丸四角形吹き出し 98">
          <a:extLst>
            <a:ext uri="{FF2B5EF4-FFF2-40B4-BE49-F238E27FC236}">
              <a16:creationId xmlns:a16="http://schemas.microsoft.com/office/drawing/2014/main" id="{00000000-0008-0000-0000-000063000000}"/>
            </a:ext>
          </a:extLst>
        </xdr:cNvPr>
        <xdr:cNvSpPr/>
      </xdr:nvSpPr>
      <xdr:spPr>
        <a:xfrm>
          <a:off x="4275617" y="13957225"/>
          <a:ext cx="1665768" cy="850827"/>
        </a:xfrm>
        <a:prstGeom prst="wedgeRoundRectCallout">
          <a:avLst>
            <a:gd name="adj1" fmla="val 123414"/>
            <a:gd name="adj2" fmla="val -66237"/>
            <a:gd name="adj3" fmla="val 16667"/>
          </a:avLst>
        </a:prstGeom>
        <a:solidFill>
          <a:schemeClr val="bg1"/>
        </a:solid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900" b="1">
              <a:solidFill>
                <a:schemeClr val="tx1"/>
              </a:solidFill>
              <a:latin typeface="ＭＳ ゴシック" panose="020B0609070205080204" pitchFamily="49" charset="-128"/>
              <a:ea typeface="ＭＳ ゴシック" panose="020B0609070205080204" pitchFamily="49" charset="-128"/>
            </a:rPr>
            <a:t>公的年金等の収入</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850">
              <a:solidFill>
                <a:schemeClr val="tx1"/>
              </a:solidFill>
              <a:latin typeface="ＭＳ ゴシック" panose="020B0609070205080204" pitchFamily="49" charset="-128"/>
              <a:ea typeface="ＭＳ ゴシック" panose="020B0609070205080204" pitchFamily="49" charset="-128"/>
            </a:rPr>
            <a:t>確定申告書や住民税申告書の場合は</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収入金額等</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の</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公的年金等</a:t>
          </a:r>
          <a:r>
            <a:rPr kumimoji="1" lang="en-US" altLang="ja-JP" sz="850">
              <a:solidFill>
                <a:schemeClr val="tx1"/>
              </a:solidFill>
              <a:latin typeface="ＭＳ ゴシック" panose="020B0609070205080204" pitchFamily="49" charset="-128"/>
              <a:ea typeface="ＭＳ ゴシック" panose="020B0609070205080204" pitchFamily="49" charset="-128"/>
            </a:rPr>
            <a:t>』</a:t>
          </a:r>
          <a:r>
            <a:rPr kumimoji="1" lang="ja-JP" altLang="en-US" sz="850">
              <a:solidFill>
                <a:schemeClr val="tx1"/>
              </a:solidFill>
              <a:latin typeface="ＭＳ ゴシック" panose="020B0609070205080204" pitchFamily="49" charset="-128"/>
              <a:ea typeface="ＭＳ ゴシック" panose="020B0609070205080204" pitchFamily="49" charset="-128"/>
            </a:rPr>
            <a:t>の額を入力</a:t>
          </a:r>
        </a:p>
      </xdr:txBody>
    </xdr:sp>
    <xdr:clientData/>
  </xdr:twoCellAnchor>
  <xdr:twoCellAnchor>
    <xdr:from>
      <xdr:col>64</xdr:col>
      <xdr:colOff>575931</xdr:colOff>
      <xdr:row>43</xdr:row>
      <xdr:rowOff>66455</xdr:rowOff>
    </xdr:from>
    <xdr:to>
      <xdr:col>64</xdr:col>
      <xdr:colOff>642383</xdr:colOff>
      <xdr:row>44</xdr:row>
      <xdr:rowOff>77530</xdr:rowOff>
    </xdr:to>
    <xdr:sp textlink="">
      <xdr:nvSpPr>
        <xdr:cNvPr id="4" name="正方形/長方形 3">
          <a:extLst>
            <a:ext uri="{FF2B5EF4-FFF2-40B4-BE49-F238E27FC236}">
              <a16:creationId xmlns:a16="http://schemas.microsoft.com/office/drawing/2014/main" id="{98A43CAA-061D-71F8-B48F-F979EAD6BF7E}"/>
            </a:ext>
          </a:extLst>
        </xdr:cNvPr>
        <xdr:cNvSpPr/>
      </xdr:nvSpPr>
      <xdr:spPr>
        <a:xfrm flipH="1">
          <a:off x="13312850" y="8140554"/>
          <a:ext cx="66452" cy="19936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121829</xdr:colOff>
      <xdr:row>43</xdr:row>
      <xdr:rowOff>77527</xdr:rowOff>
    </xdr:from>
    <xdr:to>
      <xdr:col>37</xdr:col>
      <xdr:colOff>188284</xdr:colOff>
      <xdr:row>44</xdr:row>
      <xdr:rowOff>11073</xdr:rowOff>
    </xdr:to>
    <xdr:sp textlink="">
      <xdr:nvSpPr>
        <xdr:cNvPr id="6" name="正方形/長方形 5">
          <a:extLst>
            <a:ext uri="{FF2B5EF4-FFF2-40B4-BE49-F238E27FC236}">
              <a16:creationId xmlns:a16="http://schemas.microsoft.com/office/drawing/2014/main" id="{0F3E9DE1-7440-4768-A88B-9A6E6932EB25}"/>
            </a:ext>
          </a:extLst>
        </xdr:cNvPr>
        <xdr:cNvSpPr/>
      </xdr:nvSpPr>
      <xdr:spPr>
        <a:xfrm flipH="1">
          <a:off x="7221277" y="8151626"/>
          <a:ext cx="66455" cy="121831"/>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F63"/>
  <sheetViews>
    <sheetView showGridLines="0" zoomScale="86" zoomScaleNormal="86" workbookViewId="0">
      <selection activeCell="U34" sqref="U34"/>
    </sheetView>
  </sheetViews>
  <sheetFormatPr defaultRowHeight="13.5" x14ac:dyDescent="0.15"/>
  <cols>
    <col min="1" max="25" width="2.5" style="29" customWidth="1"/>
    <col min="26" max="42" width="2.625" style="29" customWidth="1"/>
    <col min="43" max="63" width="2.5" style="29" customWidth="1"/>
    <col min="64" max="16384" width="9" style="29"/>
  </cols>
  <sheetData>
    <row r="2" spans="1:58" ht="15" customHeight="1" x14ac:dyDescent="0.15">
      <c r="A2" s="181" t="s">
        <v>132</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3"/>
    </row>
    <row r="3" spans="1:58" ht="15" customHeight="1" x14ac:dyDescent="0.15">
      <c r="A3" s="30"/>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2"/>
    </row>
    <row r="4" spans="1:58" ht="15" customHeight="1" x14ac:dyDescent="0.15">
      <c r="A4" s="33" t="s">
        <v>104</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2"/>
    </row>
    <row r="5" spans="1:58" ht="15" customHeight="1" x14ac:dyDescent="0.15">
      <c r="A5" s="33"/>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2"/>
    </row>
    <row r="6" spans="1:58" ht="15" customHeight="1" x14ac:dyDescent="0.15">
      <c r="A6" s="33" t="s">
        <v>114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2"/>
    </row>
    <row r="7" spans="1:58" ht="15" customHeight="1" x14ac:dyDescent="0.15">
      <c r="A7" s="33" t="s">
        <v>115</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2"/>
    </row>
    <row r="8" spans="1:58" ht="15" customHeight="1" x14ac:dyDescent="0.15">
      <c r="A8" s="33" t="s">
        <v>116</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2"/>
    </row>
    <row r="9" spans="1:58" ht="15" customHeight="1" x14ac:dyDescent="0.15">
      <c r="A9" s="33" t="s">
        <v>152</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2"/>
    </row>
    <row r="10" spans="1:58" ht="15" customHeight="1" x14ac:dyDescent="0.15">
      <c r="A10" s="33" t="s">
        <v>117</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2"/>
    </row>
    <row r="11" spans="1:58" ht="15" customHeight="1" x14ac:dyDescent="0.15">
      <c r="A11" s="33" t="s">
        <v>118</v>
      </c>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2"/>
    </row>
    <row r="12" spans="1:58" ht="15" customHeight="1" x14ac:dyDescent="0.15">
      <c r="A12" s="33" t="s">
        <v>119</v>
      </c>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2"/>
    </row>
    <row r="13" spans="1:58" ht="15" customHeight="1" x14ac:dyDescent="0.15">
      <c r="A13" s="33" t="s">
        <v>120</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2"/>
    </row>
    <row r="14" spans="1:58" ht="15" customHeight="1" x14ac:dyDescent="0.15">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2"/>
    </row>
    <row r="15" spans="1:58" ht="15" customHeight="1" x14ac:dyDescent="0.15">
      <c r="A15" s="33" t="s">
        <v>121</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2"/>
    </row>
    <row r="16" spans="1:58" ht="15" customHeight="1" x14ac:dyDescent="0.15">
      <c r="A16" s="33" t="s">
        <v>130</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2"/>
    </row>
    <row r="17" spans="1:58" ht="15" customHeight="1" x14ac:dyDescent="0.15">
      <c r="A17" s="33" t="s">
        <v>146</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2"/>
    </row>
    <row r="18" spans="1:58" ht="15" customHeight="1" x14ac:dyDescent="0.15">
      <c r="A18" s="33" t="s">
        <v>147</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2"/>
    </row>
    <row r="19" spans="1:58" ht="15" customHeight="1" x14ac:dyDescent="0.15">
      <c r="A19" s="34"/>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6"/>
    </row>
    <row r="20" spans="1:58" ht="15" customHeight="1" x14ac:dyDescent="0.15"/>
    <row r="21" spans="1:58" ht="15" customHeight="1" x14ac:dyDescent="0.15"/>
    <row r="22" spans="1:58" ht="15" customHeight="1" x14ac:dyDescent="0.15">
      <c r="A22" s="184" t="s">
        <v>133</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6"/>
    </row>
    <row r="23" spans="1:58" ht="15" customHeight="1" x14ac:dyDescent="0.15">
      <c r="A23" s="37"/>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9"/>
    </row>
    <row r="24" spans="1:58" ht="15" customHeight="1" x14ac:dyDescent="0.15">
      <c r="A24" s="40" t="s">
        <v>122</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2"/>
    </row>
    <row r="25" spans="1:58" ht="15" customHeight="1" x14ac:dyDescent="0.15">
      <c r="A25" s="40" t="s">
        <v>123</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2"/>
    </row>
    <row r="26" spans="1:58" ht="15" customHeight="1" x14ac:dyDescent="0.15">
      <c r="A26" s="40" t="s">
        <v>124</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2"/>
    </row>
    <row r="27" spans="1:58" ht="15" customHeight="1" x14ac:dyDescent="0.15">
      <c r="A27" s="40" t="s">
        <v>125</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2"/>
    </row>
    <row r="28" spans="1:58" ht="15" customHeight="1" x14ac:dyDescent="0.15">
      <c r="A28" s="40" t="s">
        <v>126</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2"/>
    </row>
    <row r="29" spans="1:58" ht="15" customHeight="1" x14ac:dyDescent="0.15">
      <c r="A29" s="40" t="s">
        <v>112</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2"/>
    </row>
    <row r="30" spans="1:58" ht="15" customHeight="1" x14ac:dyDescent="0.15">
      <c r="A30" s="40" t="s">
        <v>127</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2"/>
    </row>
    <row r="31" spans="1:58" ht="15" customHeight="1" x14ac:dyDescent="0.15">
      <c r="A31" s="40" t="s">
        <v>112</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2"/>
    </row>
    <row r="32" spans="1:58" ht="15" customHeight="1" x14ac:dyDescent="0.15">
      <c r="A32" s="40" t="s">
        <v>128</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2"/>
    </row>
    <row r="33" spans="1:58" ht="15" customHeight="1" x14ac:dyDescent="0.15">
      <c r="A33" s="40" t="s">
        <v>131</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2"/>
    </row>
    <row r="34" spans="1:58" ht="15" customHeight="1" x14ac:dyDescent="0.15">
      <c r="A34" s="40" t="s">
        <v>129</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2"/>
    </row>
    <row r="35" spans="1:58" ht="15" customHeight="1" x14ac:dyDescent="0.15">
      <c r="A35" s="40" t="s">
        <v>113</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2"/>
    </row>
    <row r="36" spans="1:58" ht="15" customHeight="1" x14ac:dyDescent="0.15">
      <c r="A36" s="40" t="s">
        <v>138</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2"/>
    </row>
    <row r="37" spans="1:58" ht="15" customHeight="1" x14ac:dyDescent="0.15">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2"/>
    </row>
    <row r="38" spans="1:58" ht="15" customHeight="1" x14ac:dyDescent="0.15">
      <c r="A38" s="40" t="s">
        <v>135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2"/>
    </row>
    <row r="39" spans="1:58" ht="15" customHeight="1" x14ac:dyDescent="0.15">
      <c r="A39" s="40" t="s">
        <v>136</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2"/>
    </row>
    <row r="40" spans="1:58" ht="15" customHeight="1" x14ac:dyDescent="0.15">
      <c r="A40" s="40" t="s">
        <v>137</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2"/>
    </row>
    <row r="41" spans="1:58" ht="15" customHeight="1" x14ac:dyDescent="0.15">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5"/>
    </row>
    <row r="42" spans="1:58" ht="15" customHeight="1" x14ac:dyDescent="0.15"/>
    <row r="43" spans="1:58" ht="15" customHeight="1" x14ac:dyDescent="0.15">
      <c r="A43" s="187" t="s">
        <v>134</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87"/>
      <c r="BD43" s="187"/>
      <c r="BE43" s="187"/>
      <c r="BF43" s="187"/>
    </row>
    <row r="44" spans="1:58" ht="15" customHeight="1" x14ac:dyDescent="0.15"/>
    <row r="45" spans="1:58" ht="15" customHeight="1" x14ac:dyDescent="0.15"/>
    <row r="46" spans="1:58" ht="15" customHeight="1" x14ac:dyDescent="0.15"/>
    <row r="47" spans="1:58" ht="15" customHeight="1" x14ac:dyDescent="0.15"/>
    <row r="48" spans="1:5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sheetData>
  <sheetProtection algorithmName="SHA-512" hashValue="OEfo0HVv1Ql4xBgjGTQRKCe1El3/8EEd8qLzWGJ0vlWDveqeBEzhv6I0emALIkG8w9GWUpRioZu2uBvyxVUCPw==" saltValue="Gnu2sXmsNC1J8S891elSPA==" spinCount="100000" sheet="1" objects="1" scenarios="1"/>
  <mergeCells count="3">
    <mergeCell ref="A2:BF2"/>
    <mergeCell ref="A22:BF22"/>
    <mergeCell ref="A43:BF43"/>
  </mergeCells>
  <phoneticPr fontId="1"/>
  <pageMargins left="0.19685039370078741" right="0.19685039370078741" top="0.19685039370078741" bottom="0"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U147"/>
  <sheetViews>
    <sheetView showGridLines="0" tabSelected="1" view="pageBreakPreview" zoomScale="89" zoomScaleNormal="89" zoomScaleSheetLayoutView="89" workbookViewId="0">
      <selection activeCell="B10" sqref="B10:C12"/>
    </sheetView>
  </sheetViews>
  <sheetFormatPr defaultRowHeight="13.5" x14ac:dyDescent="0.15"/>
  <cols>
    <col min="1" max="1" width="11.625" style="1" customWidth="1"/>
    <col min="2" max="2" width="10.625" style="1" customWidth="1"/>
    <col min="3" max="3" width="2.625" style="1" customWidth="1"/>
    <col min="4" max="4" width="10.625" style="1" customWidth="1"/>
    <col min="5" max="5" width="2.625" style="1" customWidth="1"/>
    <col min="6" max="6" width="10.625" style="1" customWidth="1"/>
    <col min="7" max="7" width="2.625" style="1" customWidth="1"/>
    <col min="8" max="8" width="10.625" style="1" customWidth="1"/>
    <col min="9" max="9" width="2.625" style="1" customWidth="1"/>
    <col min="10" max="10" width="10.625" style="1" customWidth="1"/>
    <col min="11" max="11" width="2.625" style="1" customWidth="1"/>
    <col min="12" max="12" width="10.625" style="1" customWidth="1"/>
    <col min="13" max="13" width="2.625" style="1" customWidth="1"/>
    <col min="14" max="14" width="10.625" style="1" customWidth="1"/>
    <col min="15" max="15" width="2.625" style="1" customWidth="1"/>
    <col min="16" max="16" width="10.625" style="1" customWidth="1"/>
    <col min="17" max="17" width="2.625" style="1" customWidth="1"/>
    <col min="18" max="18" width="10.625" style="1" customWidth="1"/>
    <col min="19" max="19" width="2.625" style="1" customWidth="1"/>
    <col min="20" max="20" width="10.625" style="1" customWidth="1"/>
    <col min="21" max="21" width="2.625" style="1" customWidth="1"/>
    <col min="22" max="22" width="10.625" style="1" customWidth="1"/>
    <col min="23" max="23" width="2.625" style="1" customWidth="1"/>
    <col min="24" max="24" width="10.625" style="1" customWidth="1"/>
    <col min="25" max="25" width="2.625" style="1" customWidth="1"/>
    <col min="26" max="26" width="10.625" style="1" customWidth="1"/>
    <col min="27" max="27" width="2.625" style="1" customWidth="1"/>
    <col min="28" max="28" width="11.625" style="1" customWidth="1"/>
    <col min="29" max="29" width="12.375" style="1" customWidth="1"/>
    <col min="30" max="30" width="8.5" style="1" customWidth="1"/>
    <col min="31" max="31" width="8.625" style="1" customWidth="1"/>
    <col min="32" max="80" width="8.625" style="48" hidden="1" customWidth="1"/>
    <col min="81" max="82" width="9" style="48" hidden="1" customWidth="1"/>
    <col min="83" max="85" width="8.625" style="48" hidden="1" customWidth="1"/>
    <col min="86" max="86" width="0" style="48" hidden="1" customWidth="1"/>
    <col min="87" max="97" width="9" style="48"/>
    <col min="98" max="16384" width="9" style="1"/>
  </cols>
  <sheetData>
    <row r="1" spans="1:99" ht="12" customHeight="1" x14ac:dyDescent="0.15">
      <c r="A1" s="87">
        <f>AF2</f>
        <v>8</v>
      </c>
      <c r="B1" s="87"/>
      <c r="C1" s="87"/>
      <c r="D1" s="87"/>
      <c r="E1" s="87"/>
      <c r="F1" s="87"/>
      <c r="G1" s="87"/>
      <c r="H1" s="87"/>
      <c r="I1" s="87"/>
      <c r="J1" s="87"/>
      <c r="K1" s="87"/>
      <c r="L1" s="87"/>
      <c r="M1" s="87"/>
      <c r="N1" s="87"/>
      <c r="O1" s="87"/>
      <c r="P1" s="87"/>
      <c r="Q1" s="87"/>
      <c r="R1" s="87"/>
      <c r="S1" s="87"/>
      <c r="T1" s="87"/>
      <c r="U1" s="87"/>
      <c r="V1" s="87"/>
      <c r="W1" s="87"/>
      <c r="X1" s="87"/>
      <c r="Y1" s="87"/>
      <c r="Z1" s="87"/>
      <c r="AA1" s="87"/>
      <c r="AF1" s="52"/>
      <c r="AG1" s="52"/>
      <c r="AH1" s="52"/>
      <c r="AI1" s="52"/>
      <c r="AJ1" s="52"/>
      <c r="AK1" s="52"/>
      <c r="AL1" s="52"/>
      <c r="AM1" s="52"/>
      <c r="AN1" s="52"/>
      <c r="AO1" s="52"/>
      <c r="AP1" s="52"/>
      <c r="AQ1" s="52"/>
      <c r="AR1" s="52"/>
      <c r="AS1" s="52"/>
      <c r="AT1" s="53" t="s">
        <v>83</v>
      </c>
      <c r="AU1" s="52"/>
      <c r="AV1" s="52"/>
      <c r="AW1" s="53" t="s">
        <v>105</v>
      </c>
      <c r="AX1" s="52"/>
      <c r="AY1" s="52"/>
      <c r="AZ1" s="52"/>
      <c r="BA1" s="53" t="s">
        <v>83</v>
      </c>
      <c r="BB1" s="52"/>
      <c r="BC1" s="52"/>
      <c r="BD1" s="53" t="s">
        <v>105</v>
      </c>
      <c r="BE1" s="52"/>
      <c r="BF1" s="52"/>
      <c r="BG1" s="52"/>
      <c r="BH1" s="53" t="s">
        <v>83</v>
      </c>
      <c r="BI1" s="52"/>
      <c r="BJ1" s="52"/>
      <c r="BK1" s="53" t="s">
        <v>105</v>
      </c>
      <c r="BL1" s="52"/>
      <c r="BM1" s="52"/>
      <c r="BN1" s="52"/>
      <c r="BO1" s="53" t="s">
        <v>83</v>
      </c>
      <c r="BP1" s="52"/>
      <c r="BQ1" s="52"/>
      <c r="BR1" s="53" t="s">
        <v>105</v>
      </c>
      <c r="BS1" s="52"/>
      <c r="BT1" s="52"/>
      <c r="BU1" s="52"/>
      <c r="BV1" s="53" t="s">
        <v>83</v>
      </c>
      <c r="BW1" s="52"/>
      <c r="BX1" s="52"/>
      <c r="BY1" s="53" t="s">
        <v>105</v>
      </c>
      <c r="BZ1" s="52"/>
      <c r="CA1" s="52"/>
      <c r="CB1" s="52"/>
      <c r="CC1" s="53" t="s">
        <v>83</v>
      </c>
      <c r="CD1" s="52"/>
      <c r="CE1" s="52"/>
      <c r="CF1" s="53" t="s">
        <v>105</v>
      </c>
      <c r="CG1" s="52"/>
      <c r="CH1" s="52"/>
    </row>
    <row r="2" spans="1:99" ht="12"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F2" s="54">
        <v>8</v>
      </c>
      <c r="AG2" s="55" t="s">
        <v>64</v>
      </c>
      <c r="AH2" s="55" t="s">
        <v>65</v>
      </c>
      <c r="AI2" s="55" t="s">
        <v>67</v>
      </c>
      <c r="AJ2" s="55" t="s">
        <v>66</v>
      </c>
      <c r="AK2" s="55" t="s">
        <v>73</v>
      </c>
      <c r="AL2" s="55" t="s">
        <v>72</v>
      </c>
      <c r="AM2" s="55" t="s">
        <v>87</v>
      </c>
      <c r="AN2" s="55" t="s">
        <v>83</v>
      </c>
      <c r="AO2" s="55"/>
      <c r="AP2" s="52"/>
      <c r="AQ2" s="53" t="s">
        <v>47</v>
      </c>
      <c r="AR2" s="53"/>
      <c r="AS2" s="53" t="s">
        <v>36</v>
      </c>
      <c r="AT2" s="56">
        <f>IF(SUM(AT5:AT7)&lt;=0,0,SUM(AT5:AT7))</f>
        <v>0</v>
      </c>
      <c r="AU2" s="57">
        <f>IF(AW2&lt;&gt;0,AW2,AT2)</f>
        <v>0</v>
      </c>
      <c r="AV2" s="57"/>
      <c r="AW2" s="56">
        <f>IF(SUM(AW5:AW7)&lt;=0,0,SUM(AW5:AW7))</f>
        <v>0</v>
      </c>
      <c r="AX2" s="53"/>
      <c r="AY2" s="53"/>
      <c r="AZ2" s="53" t="s">
        <v>38</v>
      </c>
      <c r="BA2" s="56">
        <f>IF(SUM(BA5:BA7)&lt;=0,0,SUM(BA5:BA7))</f>
        <v>0</v>
      </c>
      <c r="BB2" s="57">
        <f>IF(BD2&lt;&gt;0,BD2,BA2)</f>
        <v>0</v>
      </c>
      <c r="BC2" s="57"/>
      <c r="BD2" s="56">
        <f>IF(SUM(BD5:BD7)&lt;=0,0,SUM(BD5:BD7))</f>
        <v>0</v>
      </c>
      <c r="BE2" s="53"/>
      <c r="BF2" s="53"/>
      <c r="BG2" s="53" t="s">
        <v>39</v>
      </c>
      <c r="BH2" s="56">
        <f>IF(SUM(BH5:BH7)&lt;=0,0,SUM(BH5:BH7))</f>
        <v>0</v>
      </c>
      <c r="BI2" s="57">
        <f>IF(BK2&lt;&gt;0,BK2,BH2)</f>
        <v>0</v>
      </c>
      <c r="BJ2" s="57"/>
      <c r="BK2" s="56">
        <f>IF(SUM(BK5:BK7)&lt;=0,0,SUM(BK5:BK7))</f>
        <v>0</v>
      </c>
      <c r="BL2" s="53"/>
      <c r="BM2" s="53"/>
      <c r="BN2" s="53" t="s">
        <v>40</v>
      </c>
      <c r="BO2" s="56">
        <f>IF(SUM(BO5:BO7)&lt;=0,0,SUM(BO5:BO7))</f>
        <v>0</v>
      </c>
      <c r="BP2" s="57">
        <f>IF(BR2&lt;&gt;0,BR2,BO2)</f>
        <v>0</v>
      </c>
      <c r="BQ2" s="57"/>
      <c r="BR2" s="56">
        <f>IF(SUM(BR5:BR7)&lt;=0,0,SUM(BR5:BR7))</f>
        <v>0</v>
      </c>
      <c r="BS2" s="53"/>
      <c r="BT2" s="53"/>
      <c r="BU2" s="53" t="s">
        <v>41</v>
      </c>
      <c r="BV2" s="56">
        <f>IF(SUM(BV5:BV7)&lt;=0,0,SUM(BV5:BV7))</f>
        <v>0</v>
      </c>
      <c r="BW2" s="57">
        <f>IF(BY2&lt;&gt;0,BY2,BV2)</f>
        <v>0</v>
      </c>
      <c r="BX2" s="57"/>
      <c r="BY2" s="56">
        <f>IF(SUM(BY5:BY7)&lt;=0,0,SUM(BY5:BY7))</f>
        <v>0</v>
      </c>
      <c r="BZ2" s="53"/>
      <c r="CA2" s="53"/>
      <c r="CB2" s="53" t="s">
        <v>42</v>
      </c>
      <c r="CC2" s="56">
        <f>IF(SUM(CC5:CC7)&lt;=0,0,SUM(CC5:CC7))</f>
        <v>0</v>
      </c>
      <c r="CD2" s="57">
        <f>IF(CF2&lt;&gt;0,CF2,CC2)</f>
        <v>0</v>
      </c>
      <c r="CE2" s="57"/>
      <c r="CF2" s="56">
        <f>IF(SUM(CF5:CF7)&lt;=0,0,SUM(CF5:CF7))</f>
        <v>0</v>
      </c>
      <c r="CG2" s="53"/>
      <c r="CH2" s="52"/>
      <c r="CK2" s="49"/>
      <c r="CL2" s="49"/>
      <c r="CM2" s="49"/>
      <c r="CN2" s="49"/>
      <c r="CO2" s="49"/>
      <c r="CP2" s="49"/>
      <c r="CQ2" s="49"/>
      <c r="CR2" s="49"/>
      <c r="CS2" s="49"/>
      <c r="CT2" s="3"/>
      <c r="CU2" s="3"/>
    </row>
    <row r="3" spans="1:99" ht="12" customHeight="1" x14ac:dyDescent="0.15">
      <c r="A3" s="6"/>
      <c r="B3" s="7"/>
      <c r="C3" s="7"/>
      <c r="D3" s="7"/>
      <c r="E3" s="7"/>
      <c r="F3" s="7"/>
      <c r="G3" s="7"/>
      <c r="H3" s="7"/>
      <c r="I3" s="7"/>
      <c r="J3" s="6"/>
      <c r="K3" s="7"/>
      <c r="L3" s="6"/>
      <c r="M3" s="6"/>
      <c r="N3" s="6"/>
      <c r="O3" s="7"/>
      <c r="P3" s="6"/>
      <c r="Q3" s="7"/>
      <c r="R3" s="6"/>
      <c r="S3" s="7"/>
      <c r="T3" s="6"/>
      <c r="U3" s="7"/>
      <c r="V3" s="6"/>
      <c r="W3" s="7"/>
      <c r="X3" s="7"/>
      <c r="Y3" s="7"/>
      <c r="Z3" s="6"/>
      <c r="AA3" s="6"/>
      <c r="AE3" s="2"/>
      <c r="AF3" s="58" t="s">
        <v>68</v>
      </c>
      <c r="AG3" s="58" t="s">
        <v>69</v>
      </c>
      <c r="AH3" s="58" t="s">
        <v>70</v>
      </c>
      <c r="AI3" s="58" t="s">
        <v>71</v>
      </c>
      <c r="AJ3" s="55"/>
      <c r="AK3" s="53" t="s">
        <v>110</v>
      </c>
      <c r="AL3" s="53" t="s">
        <v>111</v>
      </c>
      <c r="AM3" s="53"/>
      <c r="AN3" s="59" t="s">
        <v>84</v>
      </c>
      <c r="AO3" s="53"/>
      <c r="AP3" s="53"/>
      <c r="AQ3" s="53"/>
      <c r="AR3" s="53" t="s">
        <v>37</v>
      </c>
      <c r="AS3" s="57">
        <f>F10</f>
        <v>0</v>
      </c>
      <c r="AT3" s="57"/>
      <c r="AU3" s="57"/>
      <c r="AV3" s="57"/>
      <c r="AW3" s="57"/>
      <c r="AX3" s="57"/>
      <c r="AY3" s="53" t="s">
        <v>37</v>
      </c>
      <c r="AZ3" s="57">
        <f>F13</f>
        <v>0</v>
      </c>
      <c r="BA3" s="57"/>
      <c r="BB3" s="57"/>
      <c r="BC3" s="57"/>
      <c r="BD3" s="57"/>
      <c r="BE3" s="57"/>
      <c r="BF3" s="53" t="s">
        <v>37</v>
      </c>
      <c r="BG3" s="57">
        <f>F15</f>
        <v>0</v>
      </c>
      <c r="BH3" s="57"/>
      <c r="BI3" s="57"/>
      <c r="BJ3" s="57"/>
      <c r="BK3" s="57"/>
      <c r="BL3" s="57"/>
      <c r="BM3" s="53" t="s">
        <v>37</v>
      </c>
      <c r="BN3" s="57">
        <f>F17</f>
        <v>0</v>
      </c>
      <c r="BO3" s="57"/>
      <c r="BP3" s="57"/>
      <c r="BQ3" s="57"/>
      <c r="BR3" s="57"/>
      <c r="BS3" s="57"/>
      <c r="BT3" s="53" t="s">
        <v>37</v>
      </c>
      <c r="BU3" s="57">
        <f>F19</f>
        <v>0</v>
      </c>
      <c r="BV3" s="57"/>
      <c r="BW3" s="57"/>
      <c r="BX3" s="57"/>
      <c r="BY3" s="57"/>
      <c r="BZ3" s="57"/>
      <c r="CA3" s="53" t="s">
        <v>37</v>
      </c>
      <c r="CB3" s="57">
        <f>F21</f>
        <v>0</v>
      </c>
      <c r="CC3" s="57"/>
      <c r="CD3" s="57"/>
      <c r="CE3" s="57"/>
      <c r="CF3" s="57"/>
      <c r="CG3" s="57"/>
      <c r="CH3" s="52"/>
      <c r="CK3" s="50"/>
      <c r="CL3" s="50"/>
      <c r="CM3" s="50"/>
      <c r="CN3" s="50"/>
      <c r="CO3" s="50"/>
      <c r="CP3" s="50"/>
      <c r="CQ3" s="50"/>
      <c r="CR3" s="50"/>
      <c r="CS3" s="50"/>
      <c r="CT3" s="4"/>
      <c r="CU3" s="4"/>
    </row>
    <row r="4" spans="1:99" ht="12" customHeight="1" x14ac:dyDescent="0.15">
      <c r="A4" s="73" t="s">
        <v>0</v>
      </c>
      <c r="B4" s="73" t="s">
        <v>58</v>
      </c>
      <c r="C4" s="73"/>
      <c r="D4" s="73" t="s">
        <v>59</v>
      </c>
      <c r="E4" s="73"/>
      <c r="F4" s="101">
        <f>AF2-1</f>
        <v>7</v>
      </c>
      <c r="G4" s="101"/>
      <c r="H4" s="101"/>
      <c r="I4" s="101"/>
      <c r="J4" s="101"/>
      <c r="K4" s="101"/>
      <c r="L4" s="101"/>
      <c r="M4" s="101"/>
      <c r="N4" s="101"/>
      <c r="O4" s="101"/>
      <c r="P4" s="101"/>
      <c r="Q4" s="101"/>
      <c r="R4" s="101"/>
      <c r="S4" s="101"/>
      <c r="T4" s="101"/>
      <c r="U4" s="101"/>
      <c r="V4" s="101"/>
      <c r="W4" s="101"/>
      <c r="X4" s="101"/>
      <c r="Y4" s="101"/>
      <c r="Z4" s="89">
        <f>AF2</f>
        <v>8</v>
      </c>
      <c r="AA4" s="90"/>
      <c r="AE4" s="2"/>
      <c r="AF4" s="60">
        <f>IF(D10=0,0,D10)</f>
        <v>0</v>
      </c>
      <c r="AG4" s="61">
        <f>DATE(AF2+118,4,1)</f>
        <v>46113</v>
      </c>
      <c r="AH4" s="61">
        <f>DATE(AF2+53,1,1)</f>
        <v>22282</v>
      </c>
      <c r="AI4" s="61">
        <f>DATE(AF2+112,4,1)</f>
        <v>43922</v>
      </c>
      <c r="AJ4" s="55">
        <f t="shared" ref="AJ4:AJ9" si="0">IF(AF4=0,0,DATEDIF($AF4,$AG4,"Y"))</f>
        <v>0</v>
      </c>
      <c r="AK4" s="55" t="str">
        <f>IF(AF4&gt;=AH4,0,AK3)</f>
        <v>65歳以上</v>
      </c>
      <c r="AL4" s="55">
        <f>IF(AF4&lt;=AI4,0,AL3)</f>
        <v>0</v>
      </c>
      <c r="AM4" s="55">
        <f>IF(B10=$AG$39,1,0)</f>
        <v>0</v>
      </c>
      <c r="AN4" s="55">
        <f>IF(OR(B10=$AG$39,B10=$AG$40),IF(F10&gt;550000,1,IF(AND(AK4=0,N10&gt;600000),1,IF(AND(AK4="65歳以上",N10&gt;1100000),1,0))),0)</f>
        <v>0</v>
      </c>
      <c r="AO4" s="55"/>
      <c r="AP4" s="53"/>
      <c r="AQ4" s="53"/>
      <c r="AR4" s="53" t="s">
        <v>44</v>
      </c>
      <c r="AS4" s="56">
        <f>N10</f>
        <v>0</v>
      </c>
      <c r="AT4" s="56"/>
      <c r="AU4" s="56"/>
      <c r="AV4" s="56"/>
      <c r="AW4" s="56"/>
      <c r="AX4" s="56"/>
      <c r="AY4" s="53" t="s">
        <v>44</v>
      </c>
      <c r="AZ4" s="56">
        <f>N13</f>
        <v>0</v>
      </c>
      <c r="BA4" s="56"/>
      <c r="BB4" s="56"/>
      <c r="BC4" s="56"/>
      <c r="BD4" s="56"/>
      <c r="BE4" s="56"/>
      <c r="BF4" s="53" t="s">
        <v>44</v>
      </c>
      <c r="BG4" s="56">
        <f>N15</f>
        <v>0</v>
      </c>
      <c r="BH4" s="56"/>
      <c r="BI4" s="56"/>
      <c r="BJ4" s="56"/>
      <c r="BK4" s="56"/>
      <c r="BL4" s="56"/>
      <c r="BM4" s="53" t="s">
        <v>44</v>
      </c>
      <c r="BN4" s="56">
        <f>N17</f>
        <v>0</v>
      </c>
      <c r="BO4" s="56"/>
      <c r="BP4" s="56"/>
      <c r="BQ4" s="56"/>
      <c r="BR4" s="56"/>
      <c r="BS4" s="56"/>
      <c r="BT4" s="53" t="s">
        <v>44</v>
      </c>
      <c r="BU4" s="56">
        <f>N19</f>
        <v>0</v>
      </c>
      <c r="BV4" s="56"/>
      <c r="BW4" s="56"/>
      <c r="BX4" s="56"/>
      <c r="BY4" s="56"/>
      <c r="BZ4" s="56"/>
      <c r="CA4" s="53" t="s">
        <v>44</v>
      </c>
      <c r="CB4" s="56">
        <f>N21</f>
        <v>0</v>
      </c>
      <c r="CC4" s="56"/>
      <c r="CD4" s="56"/>
      <c r="CE4" s="56"/>
      <c r="CF4" s="56"/>
      <c r="CG4" s="56"/>
      <c r="CH4" s="52"/>
      <c r="CK4" s="49"/>
      <c r="CL4" s="49"/>
      <c r="CM4" s="49"/>
      <c r="CN4" s="49"/>
      <c r="CO4" s="49"/>
      <c r="CP4" s="49"/>
      <c r="CQ4" s="49"/>
      <c r="CR4" s="49"/>
      <c r="CS4" s="49"/>
      <c r="CT4" s="3"/>
      <c r="CU4" s="3"/>
    </row>
    <row r="5" spans="1:99" ht="12" customHeight="1" x14ac:dyDescent="0.15">
      <c r="A5" s="73"/>
      <c r="B5" s="73"/>
      <c r="C5" s="73"/>
      <c r="D5" s="73"/>
      <c r="E5" s="73"/>
      <c r="F5" s="73" t="s">
        <v>2</v>
      </c>
      <c r="G5" s="73"/>
      <c r="H5" s="71" t="s">
        <v>51</v>
      </c>
      <c r="I5" s="71"/>
      <c r="J5" s="71" t="s">
        <v>3</v>
      </c>
      <c r="K5" s="71"/>
      <c r="L5" s="71" t="s">
        <v>7</v>
      </c>
      <c r="M5" s="71"/>
      <c r="N5" s="88" t="s">
        <v>25</v>
      </c>
      <c r="O5" s="88"/>
      <c r="P5" s="73" t="s">
        <v>5</v>
      </c>
      <c r="Q5" s="73"/>
      <c r="R5" s="97" t="s">
        <v>89</v>
      </c>
      <c r="S5" s="98"/>
      <c r="T5" s="73" t="s">
        <v>6</v>
      </c>
      <c r="U5" s="73"/>
      <c r="V5" s="73" t="s">
        <v>17</v>
      </c>
      <c r="W5" s="73"/>
      <c r="X5" s="88" t="s">
        <v>27</v>
      </c>
      <c r="Y5" s="88"/>
      <c r="Z5" s="95" t="s">
        <v>26</v>
      </c>
      <c r="AA5" s="96"/>
      <c r="AE5" s="2"/>
      <c r="AF5" s="60">
        <f>IF(D13=0,0,D13)</f>
        <v>0</v>
      </c>
      <c r="AG5" s="61">
        <f>$AG$4</f>
        <v>46113</v>
      </c>
      <c r="AH5" s="61">
        <f>$AH$4</f>
        <v>22282</v>
      </c>
      <c r="AI5" s="61">
        <f>$AI$4</f>
        <v>43922</v>
      </c>
      <c r="AJ5" s="55">
        <f t="shared" si="0"/>
        <v>0</v>
      </c>
      <c r="AK5" s="55" t="str">
        <f>IF(AF5&gt;=AH5,0,AK3)</f>
        <v>65歳以上</v>
      </c>
      <c r="AL5" s="55">
        <f>IF(AF5&lt;=AI5,0,AL3)</f>
        <v>0</v>
      </c>
      <c r="AM5" s="55">
        <f>IF(B13=$AG$39,1,0)</f>
        <v>0</v>
      </c>
      <c r="AN5" s="55">
        <f>IF(B13=$AG$39,IF(F13&gt;550000,1,IF(AND(AK5=0,N13&gt;600000),1,IF(AND(AK5="65歳以上",N13&gt;1100000),1,0))),0)</f>
        <v>0</v>
      </c>
      <c r="AO5" s="55"/>
      <c r="AP5" s="56"/>
      <c r="AQ5" s="53"/>
      <c r="AR5" s="53" t="s">
        <v>79</v>
      </c>
      <c r="AS5" s="62">
        <f>R10</f>
        <v>0</v>
      </c>
      <c r="AT5" s="56">
        <f>AS5</f>
        <v>0</v>
      </c>
      <c r="AU5" s="56"/>
      <c r="AV5" s="56">
        <f>IF(L10=$AG$34,AS5,0)</f>
        <v>0</v>
      </c>
      <c r="AW5" s="56">
        <f>AV5</f>
        <v>0</v>
      </c>
      <c r="AX5" s="56"/>
      <c r="AY5" s="53" t="s">
        <v>79</v>
      </c>
      <c r="AZ5" s="62">
        <f>R13</f>
        <v>0</v>
      </c>
      <c r="BA5" s="56">
        <f>AZ5</f>
        <v>0</v>
      </c>
      <c r="BB5" s="56"/>
      <c r="BC5" s="56">
        <f>IF(L13=$AG$34,AZ5,0)</f>
        <v>0</v>
      </c>
      <c r="BD5" s="56">
        <f>BC5</f>
        <v>0</v>
      </c>
      <c r="BE5" s="56"/>
      <c r="BF5" s="53" t="s">
        <v>79</v>
      </c>
      <c r="BG5" s="56">
        <f>R15</f>
        <v>0</v>
      </c>
      <c r="BH5" s="56">
        <f>BG5</f>
        <v>0</v>
      </c>
      <c r="BI5" s="56"/>
      <c r="BJ5" s="56">
        <f>IF(L15=$AG$34,BG5,0)</f>
        <v>0</v>
      </c>
      <c r="BK5" s="56">
        <f>BJ5</f>
        <v>0</v>
      </c>
      <c r="BL5" s="56"/>
      <c r="BM5" s="53" t="s">
        <v>79</v>
      </c>
      <c r="BN5" s="56">
        <f>R17</f>
        <v>0</v>
      </c>
      <c r="BO5" s="56">
        <f>BN5</f>
        <v>0</v>
      </c>
      <c r="BP5" s="56"/>
      <c r="BQ5" s="56">
        <f>IF(L17=$AG$34,BN5,0)</f>
        <v>0</v>
      </c>
      <c r="BR5" s="56">
        <f>BQ5</f>
        <v>0</v>
      </c>
      <c r="BS5" s="56"/>
      <c r="BT5" s="53" t="s">
        <v>79</v>
      </c>
      <c r="BU5" s="56">
        <f>R19</f>
        <v>0</v>
      </c>
      <c r="BV5" s="56">
        <f>BU5</f>
        <v>0</v>
      </c>
      <c r="BW5" s="56"/>
      <c r="BX5" s="56">
        <f>IF(L19=$AG$34,BU5,0)</f>
        <v>0</v>
      </c>
      <c r="BY5" s="56">
        <f>BX5</f>
        <v>0</v>
      </c>
      <c r="BZ5" s="56"/>
      <c r="CA5" s="53" t="s">
        <v>79</v>
      </c>
      <c r="CB5" s="56">
        <f>R21</f>
        <v>0</v>
      </c>
      <c r="CC5" s="56">
        <f>CB5</f>
        <v>0</v>
      </c>
      <c r="CD5" s="56"/>
      <c r="CE5" s="56">
        <f>IF(L21=$AG$34,CB5,0)</f>
        <v>0</v>
      </c>
      <c r="CF5" s="56">
        <f>CE5</f>
        <v>0</v>
      </c>
      <c r="CG5" s="56"/>
      <c r="CH5" s="52"/>
      <c r="CK5" s="49"/>
      <c r="CL5" s="49"/>
      <c r="CM5" s="49"/>
      <c r="CN5" s="49"/>
      <c r="CO5" s="49"/>
      <c r="CP5" s="49"/>
      <c r="CQ5" s="49"/>
      <c r="CR5" s="49"/>
      <c r="CS5" s="49"/>
      <c r="CT5" s="3"/>
      <c r="CU5" s="3"/>
    </row>
    <row r="6" spans="1:99" ht="12" customHeight="1" x14ac:dyDescent="0.15">
      <c r="A6" s="73"/>
      <c r="B6" s="73"/>
      <c r="C6" s="73"/>
      <c r="D6" s="73"/>
      <c r="E6" s="73"/>
      <c r="F6" s="73"/>
      <c r="G6" s="73"/>
      <c r="H6" s="72" t="s">
        <v>48</v>
      </c>
      <c r="I6" s="72"/>
      <c r="J6" s="72"/>
      <c r="K6" s="72"/>
      <c r="L6" s="72"/>
      <c r="M6" s="72"/>
      <c r="N6" s="88"/>
      <c r="O6" s="88"/>
      <c r="P6" s="73"/>
      <c r="Q6" s="73"/>
      <c r="R6" s="99"/>
      <c r="S6" s="100"/>
      <c r="T6" s="73"/>
      <c r="U6" s="73"/>
      <c r="V6" s="73"/>
      <c r="W6" s="73"/>
      <c r="X6" s="88"/>
      <c r="Y6" s="88"/>
      <c r="Z6" s="95"/>
      <c r="AA6" s="96"/>
      <c r="AE6" s="2"/>
      <c r="AF6" s="60">
        <f>IF(D15=0,0,D15)</f>
        <v>0</v>
      </c>
      <c r="AG6" s="61">
        <f>$AG$4</f>
        <v>46113</v>
      </c>
      <c r="AH6" s="61">
        <f>$AH$4</f>
        <v>22282</v>
      </c>
      <c r="AI6" s="61">
        <f>$AI$4</f>
        <v>43922</v>
      </c>
      <c r="AJ6" s="55">
        <f t="shared" si="0"/>
        <v>0</v>
      </c>
      <c r="AK6" s="55" t="str">
        <f>IF(AF6&gt;=AH6,0,AK3)</f>
        <v>65歳以上</v>
      </c>
      <c r="AL6" s="55">
        <f>IF(AF6&lt;=AI6,0,AL3)</f>
        <v>0</v>
      </c>
      <c r="AM6" s="55">
        <f>IF(B15=$AG$39,1,0)</f>
        <v>0</v>
      </c>
      <c r="AN6" s="55">
        <f>IF(B15=$AG$39,IF(F15&gt;550000,1,IF(AND(AK6=0,N15&gt;600000),1,IF(AND(AK6="65歳以上",N15&gt;1100000),1,0))),0)</f>
        <v>0</v>
      </c>
      <c r="AO6" s="55"/>
      <c r="AP6" s="56"/>
      <c r="AQ6" s="52"/>
      <c r="AR6" s="53" t="s">
        <v>74</v>
      </c>
      <c r="AS6" s="56">
        <f>IF(AND(AS25=0,AS28=0),AS10,IF(AND(AS25&lt;&gt;0,AS28&lt;&gt;0),AS29,IF(OR(AS25&lt;&gt;0,AS28&lt;&gt;0),AS25+AS29,AS29)))</f>
        <v>0</v>
      </c>
      <c r="AT6" s="56">
        <f>IF(AND(AT25=0,AT28=0),AS10,IF(AND(AT25&lt;&gt;0,AT28&lt;&gt;0),AT29,IF(OR(AT25&lt;&gt;0,AT28&lt;&gt;0),AT25+AT29,AT29)))</f>
        <v>0</v>
      </c>
      <c r="AU6" s="56"/>
      <c r="AV6" s="56">
        <f>IF(AND(AV25=0,AV28=0),AV10,IF(AND(AV25&lt;&gt;0,AV28&lt;&gt;0),AV29,IF(OR(AV25&lt;&gt;0,AV28&lt;&gt;0),AV25+AV29,AV29)))</f>
        <v>0</v>
      </c>
      <c r="AW6" s="56">
        <f>IF(AND(AW25=0,AW28=0),AV10,IF(AND(AW25&lt;&gt;0,AW28&lt;&gt;0),AW29,IF(OR(AW25&lt;&gt;0,AW28&lt;&gt;0),AW25+AW29,AW29)))</f>
        <v>0</v>
      </c>
      <c r="AX6" s="56"/>
      <c r="AY6" s="53" t="s">
        <v>3</v>
      </c>
      <c r="AZ6" s="56">
        <f>IF(AND(AZ25=0,AZ28=0),AZ10,IF(AND(AZ25&lt;&gt;0,AZ28&lt;&gt;0),AZ29,IF(OR(AZ25&lt;&gt;0,AZ28&lt;&gt;0),AZ25+AZ29,AZ29)))</f>
        <v>0</v>
      </c>
      <c r="BA6" s="56">
        <f>IF(AND(BA25=0,BA28=0),AZ10,IF(AND(BA25&lt;&gt;0,BA28&lt;&gt;0),BA29,IF(OR(BA25&lt;&gt;0,BA28&lt;&gt;0),BA25+BA29,BA29)))</f>
        <v>0</v>
      </c>
      <c r="BB6" s="56"/>
      <c r="BC6" s="56">
        <f>IF(AND(BC25=0,BC28=0),BC10,IF(AND(BC25&lt;&gt;0,BC28&lt;&gt;0),BC29,IF(OR(BC25&lt;&gt;0,BC28&lt;&gt;0),BC25+BC29,BC29)))</f>
        <v>0</v>
      </c>
      <c r="BD6" s="56">
        <f>IF(AND(BD25=0,BD28=0),BC10,IF(AND(BD25&lt;&gt;0,BD28&lt;&gt;0),BD29,IF(OR(BD25&lt;&gt;0,BD28&lt;&gt;0),BD25+BD29,BD29)))</f>
        <v>0</v>
      </c>
      <c r="BE6" s="56"/>
      <c r="BF6" s="53" t="s">
        <v>3</v>
      </c>
      <c r="BG6" s="56">
        <f>IF(AND(BG25=0,BG28=0),BG10,IF(AND(BG25&lt;&gt;0,BG28&lt;&gt;0),BG29,IF(OR(BG25&lt;&gt;0,BG28&lt;&gt;0),BG25+BG29,BG29)))</f>
        <v>0</v>
      </c>
      <c r="BH6" s="56">
        <f>IF(AND(BH25=0,BH28=0),BG10,IF(AND(BH25&lt;&gt;0,BH28&lt;&gt;0),BH29,IF(OR(BH25&lt;&gt;0,BH28&lt;&gt;0),BH25+BH29,BH29)))</f>
        <v>0</v>
      </c>
      <c r="BI6" s="56"/>
      <c r="BJ6" s="56">
        <f>IF(AND(BJ25=0,BJ28=0),BJ10,IF(AND(BJ25&lt;&gt;0,BJ28&lt;&gt;0),BJ29,IF(OR(BJ25&lt;&gt;0,BJ28&lt;&gt;0),BJ25+BJ29,BJ29)))</f>
        <v>0</v>
      </c>
      <c r="BK6" s="56">
        <f>IF(AND(BK25=0,BK28=0),BJ10,IF(AND(BK25&lt;&gt;0,BK28&lt;&gt;0),BK29,IF(OR(BK25&lt;&gt;0,BK28&lt;&gt;0),BK25+BK29,BK29)))</f>
        <v>0</v>
      </c>
      <c r="BL6" s="56"/>
      <c r="BM6" s="53" t="s">
        <v>3</v>
      </c>
      <c r="BN6" s="56">
        <f>IF(AND(BN25=0,BN28=0),BN10,IF(AND(BN25&lt;&gt;0,BN28&lt;&gt;0),BN29,IF(OR(BN25&lt;&gt;0,BN28&lt;&gt;0),BN25+BN29,BN29)))</f>
        <v>0</v>
      </c>
      <c r="BO6" s="56">
        <f>IF(AND(BO25=0,BO28=0),BN10,IF(AND(BO25&lt;&gt;0,BO28&lt;&gt;0),BO29,IF(OR(BO25&lt;&gt;0,BO28&lt;&gt;0),BO25+BO29,BO29)))</f>
        <v>0</v>
      </c>
      <c r="BP6" s="56"/>
      <c r="BQ6" s="56">
        <f>IF(AND(BQ25=0,BQ28=0),BQ10,IF(AND(BQ25&lt;&gt;0,BQ28&lt;&gt;0),BQ29,IF(OR(BQ25&lt;&gt;0,BQ28&lt;&gt;0),BQ25+BQ29,BQ29)))</f>
        <v>0</v>
      </c>
      <c r="BR6" s="56">
        <f>IF(AND(BR25=0,BR28=0),BQ10,IF(AND(BR25&lt;&gt;0,BR28&lt;&gt;0),BR29,IF(OR(BR25&lt;&gt;0,BR28&lt;&gt;0),BR25+BR29,BR29)))</f>
        <v>0</v>
      </c>
      <c r="BS6" s="56"/>
      <c r="BT6" s="53" t="s">
        <v>3</v>
      </c>
      <c r="BU6" s="56">
        <f>IF(AND(BU25=0,BU28=0),BU10,IF(AND(BU25&lt;&gt;0,BU28&lt;&gt;0),BU29,IF(OR(BU25&lt;&gt;0,BU28&lt;&gt;0),BU25+BU29,BU29)))</f>
        <v>0</v>
      </c>
      <c r="BV6" s="56">
        <f>IF(AND(BV25=0,BV28=0),BU10,IF(AND(BV25&lt;&gt;0,BV28&lt;&gt;0),BV29,IF(OR(BV25&lt;&gt;0,BV28&lt;&gt;0),BV25+BV29,BV29)))</f>
        <v>0</v>
      </c>
      <c r="BW6" s="56"/>
      <c r="BX6" s="56">
        <f>IF(AND(BX25=0,BX28=0),BX10,IF(AND(BX25&lt;&gt;0,BX28&lt;&gt;0),BX29,IF(OR(BX25&lt;&gt;0,BX28&lt;&gt;0),BX25+BX29,BX29)))</f>
        <v>0</v>
      </c>
      <c r="BY6" s="56">
        <f>IF(AND(BY25=0,BY28=0),BX10,IF(AND(BY25&lt;&gt;0,BY28&lt;&gt;0),BY29,IF(OR(BY25&lt;&gt;0,BY28&lt;&gt;0),BY25+BY29,BY29)))</f>
        <v>0</v>
      </c>
      <c r="BZ6" s="56"/>
      <c r="CA6" s="53" t="s">
        <v>3</v>
      </c>
      <c r="CB6" s="56">
        <f>IF(AND(CB25=0,CB28=0),CB10,IF(AND(CB25&lt;&gt;0,CB28&lt;&gt;0),CB29,IF(OR(CB25&lt;&gt;0,CB28&lt;&gt;0),CB25+CB29,CB29)))</f>
        <v>0</v>
      </c>
      <c r="CC6" s="56">
        <f>IF(AND(CC25=0,CC28=0),CB10,IF(AND(CC25&lt;&gt;0,CC28&lt;&gt;0),CC29,IF(OR(CC25&lt;&gt;0,CC28&lt;&gt;0),CC25+CC29,CC29)))</f>
        <v>0</v>
      </c>
      <c r="CD6" s="56"/>
      <c r="CE6" s="56">
        <f>IF(AND(CE25=0,CE28=0),CE10,IF(AND(CE25&lt;&gt;0,CE28&lt;&gt;0),CE29,IF(OR(CE25&lt;&gt;0,CE28&lt;&gt;0),CE25+CE29,CE29)))</f>
        <v>0</v>
      </c>
      <c r="CF6" s="56">
        <f>IF(AND(CF25=0,CF28=0),CE10,IF(AND(CF25&lt;&gt;0,CF28&lt;&gt;0),CF29,IF(OR(CF25&lt;&gt;0,CF28&lt;&gt;0),CF25+CF29,CF29)))</f>
        <v>0</v>
      </c>
      <c r="CG6" s="56"/>
      <c r="CH6" s="52"/>
      <c r="CK6" s="49"/>
      <c r="CL6" s="49"/>
      <c r="CM6" s="49"/>
      <c r="CN6" s="49"/>
      <c r="CO6" s="49"/>
      <c r="CP6" s="49"/>
      <c r="CQ6" s="49"/>
      <c r="CR6" s="49"/>
      <c r="CS6" s="49"/>
      <c r="CT6" s="3"/>
      <c r="CU6" s="3"/>
    </row>
    <row r="7" spans="1:99" ht="12" customHeight="1" x14ac:dyDescent="0.15">
      <c r="A7" s="73"/>
      <c r="B7" s="73"/>
      <c r="C7" s="73"/>
      <c r="D7" s="73"/>
      <c r="E7" s="73"/>
      <c r="F7" s="73"/>
      <c r="G7" s="73"/>
      <c r="H7" s="69" t="s">
        <v>60</v>
      </c>
      <c r="I7" s="69"/>
      <c r="J7" s="69" t="s">
        <v>4</v>
      </c>
      <c r="K7" s="69"/>
      <c r="L7" s="69" t="s">
        <v>63</v>
      </c>
      <c r="M7" s="69"/>
      <c r="N7" s="88"/>
      <c r="O7" s="88"/>
      <c r="P7" s="73"/>
      <c r="Q7" s="73"/>
      <c r="R7" s="69" t="s">
        <v>90</v>
      </c>
      <c r="S7" s="69"/>
      <c r="T7" s="73"/>
      <c r="U7" s="73"/>
      <c r="V7" s="73"/>
      <c r="W7" s="73"/>
      <c r="X7" s="88"/>
      <c r="Y7" s="88"/>
      <c r="Z7" s="91" t="s">
        <v>109</v>
      </c>
      <c r="AA7" s="92"/>
      <c r="AF7" s="60">
        <f>IF(D17=0,0,D17)</f>
        <v>0</v>
      </c>
      <c r="AG7" s="61">
        <f>$AG$4</f>
        <v>46113</v>
      </c>
      <c r="AH7" s="61">
        <f>$AH$4</f>
        <v>22282</v>
      </c>
      <c r="AI7" s="61">
        <f>$AI$4</f>
        <v>43922</v>
      </c>
      <c r="AJ7" s="55">
        <f t="shared" si="0"/>
        <v>0</v>
      </c>
      <c r="AK7" s="55" t="str">
        <f>IF(AF7&gt;=AH7,0,AK3)</f>
        <v>65歳以上</v>
      </c>
      <c r="AL7" s="55">
        <f>IF(AF7&lt;=AI7,0,AL3)</f>
        <v>0</v>
      </c>
      <c r="AM7" s="55">
        <f>IF(B17=$AG$39,1,0)</f>
        <v>0</v>
      </c>
      <c r="AN7" s="55">
        <f>IF(B17=$AG$39,IF(F17&gt;550000,1,IF(AND(AK7=0,N17&gt;600000),1,IF(AND(AK7="65歳以上",N17&gt;1100000),1,0))),0)</f>
        <v>0</v>
      </c>
      <c r="AO7" s="55"/>
      <c r="AP7" s="56"/>
      <c r="AQ7" s="53"/>
      <c r="AR7" s="53" t="s">
        <v>75</v>
      </c>
      <c r="AS7" s="56">
        <f>AS4-SUM(AS37:AU41,AS48:AU52)</f>
        <v>0</v>
      </c>
      <c r="AT7" s="56">
        <f>AS7-AS8</f>
        <v>0</v>
      </c>
      <c r="AU7" s="56"/>
      <c r="AV7" s="56">
        <f>IF(AV10=0,0,AS4-SUM(AV37:AX41,AV48:AX52))</f>
        <v>0</v>
      </c>
      <c r="AW7" s="56">
        <f>AV7-AV8</f>
        <v>0</v>
      </c>
      <c r="AX7" s="56"/>
      <c r="AY7" s="53" t="s">
        <v>75</v>
      </c>
      <c r="AZ7" s="56">
        <f>AZ4-SUM(AZ37:BB41,AZ48:BB52)</f>
        <v>0</v>
      </c>
      <c r="BA7" s="56">
        <f>AZ7-AZ8</f>
        <v>0</v>
      </c>
      <c r="BB7" s="56"/>
      <c r="BC7" s="56">
        <f>IF(BC10=0,0,AZ4-SUM(BC37:BE41,BC48:BE52))</f>
        <v>0</v>
      </c>
      <c r="BD7" s="56">
        <f>BC7-BC8</f>
        <v>0</v>
      </c>
      <c r="BE7" s="56"/>
      <c r="BF7" s="53" t="s">
        <v>75</v>
      </c>
      <c r="BG7" s="56">
        <f>BG4-SUM(BG37:BI41,BG48:BI52)</f>
        <v>0</v>
      </c>
      <c r="BH7" s="56">
        <f>BG7-BG8</f>
        <v>0</v>
      </c>
      <c r="BI7" s="56"/>
      <c r="BJ7" s="56">
        <f>IF(BJ10=0,0,BG4-SUM(BJ37:BL41,BJ48:BL52))</f>
        <v>0</v>
      </c>
      <c r="BK7" s="56">
        <f>BJ7-BJ8</f>
        <v>0</v>
      </c>
      <c r="BL7" s="56"/>
      <c r="BM7" s="53" t="s">
        <v>75</v>
      </c>
      <c r="BN7" s="56">
        <f>BN4-SUM(BN37:BP41,BN48:BP52)</f>
        <v>0</v>
      </c>
      <c r="BO7" s="56">
        <f>BN7-BN8</f>
        <v>0</v>
      </c>
      <c r="BP7" s="56"/>
      <c r="BQ7" s="56">
        <f>IF(BQ10=0,0,BN4-SUM(BQ37:BS41,BQ48:BS52))</f>
        <v>0</v>
      </c>
      <c r="BR7" s="56">
        <f>BQ7-BQ8</f>
        <v>0</v>
      </c>
      <c r="BS7" s="56"/>
      <c r="BT7" s="53" t="s">
        <v>75</v>
      </c>
      <c r="BU7" s="56">
        <f>BU4-SUM(BU37:BW41,BU48:BW52)</f>
        <v>0</v>
      </c>
      <c r="BV7" s="56">
        <f>BU7-BU8</f>
        <v>0</v>
      </c>
      <c r="BW7" s="56"/>
      <c r="BX7" s="56">
        <f>IF(BX10=0,0,BU4-SUM(BX37:BZ41,BX48:BZ52))</f>
        <v>0</v>
      </c>
      <c r="BY7" s="56">
        <f>BX7-BX8</f>
        <v>0</v>
      </c>
      <c r="BZ7" s="56"/>
      <c r="CA7" s="53" t="s">
        <v>75</v>
      </c>
      <c r="CB7" s="56">
        <f>CB4-SUM(CB37:CD41,CB48:CD52)</f>
        <v>0</v>
      </c>
      <c r="CC7" s="56">
        <f>CB7-CB8</f>
        <v>0</v>
      </c>
      <c r="CD7" s="56"/>
      <c r="CE7" s="56">
        <f>IF(CE10=0,0,CB4-SUM(CE37:CG41,CE48:CG52))</f>
        <v>0</v>
      </c>
      <c r="CF7" s="56">
        <f>CE7-CE8</f>
        <v>0</v>
      </c>
      <c r="CG7" s="56"/>
      <c r="CH7" s="52"/>
      <c r="CK7" s="49"/>
      <c r="CL7" s="49"/>
      <c r="CM7" s="49"/>
      <c r="CN7" s="49"/>
      <c r="CO7" s="49"/>
      <c r="CP7" s="49"/>
      <c r="CQ7" s="49"/>
      <c r="CR7" s="49"/>
      <c r="CS7" s="49"/>
      <c r="CT7" s="3"/>
      <c r="CU7" s="3"/>
    </row>
    <row r="8" spans="1:99" ht="12" customHeight="1" x14ac:dyDescent="0.15">
      <c r="A8" s="73"/>
      <c r="B8" s="73"/>
      <c r="C8" s="73"/>
      <c r="D8" s="73"/>
      <c r="E8" s="73"/>
      <c r="F8" s="73"/>
      <c r="G8" s="73"/>
      <c r="H8" s="69"/>
      <c r="I8" s="69"/>
      <c r="J8" s="69"/>
      <c r="K8" s="69"/>
      <c r="L8" s="69"/>
      <c r="M8" s="69"/>
      <c r="N8" s="88"/>
      <c r="O8" s="88"/>
      <c r="P8" s="73"/>
      <c r="Q8" s="73"/>
      <c r="R8" s="69"/>
      <c r="S8" s="69"/>
      <c r="T8" s="73"/>
      <c r="U8" s="73"/>
      <c r="V8" s="73"/>
      <c r="W8" s="73"/>
      <c r="X8" s="88"/>
      <c r="Y8" s="88"/>
      <c r="Z8" s="91"/>
      <c r="AA8" s="92"/>
      <c r="AE8" s="2"/>
      <c r="AF8" s="60">
        <f>IF(D19=0,0,D19)</f>
        <v>0</v>
      </c>
      <c r="AG8" s="61">
        <f>$AG$4</f>
        <v>46113</v>
      </c>
      <c r="AH8" s="61">
        <f>$AH$4</f>
        <v>22282</v>
      </c>
      <c r="AI8" s="61">
        <f>$AI$4</f>
        <v>43922</v>
      </c>
      <c r="AJ8" s="55">
        <f t="shared" si="0"/>
        <v>0</v>
      </c>
      <c r="AK8" s="55" t="str">
        <f>IF(AF8&gt;=AH8,0,AK3)</f>
        <v>65歳以上</v>
      </c>
      <c r="AL8" s="55">
        <f>IF(AF8&lt;=AI8,0,AL3)</f>
        <v>0</v>
      </c>
      <c r="AM8" s="55">
        <f>IF(B19=$AG$39,1,0)</f>
        <v>0</v>
      </c>
      <c r="AN8" s="55">
        <f>IF(B19=$AG$39,IF(F19&gt;550000,1,IF(AND(AK8=0,N19&gt;600000),1,IF(AND(AK8="65歳以上",N19&gt;1100000),1,0))),0)</f>
        <v>0</v>
      </c>
      <c r="AO8" s="55"/>
      <c r="AP8" s="52"/>
      <c r="AQ8" s="53"/>
      <c r="AR8" s="53" t="s">
        <v>85</v>
      </c>
      <c r="AS8" s="56">
        <f>IF(AK4=0,0,IF(AS44=0,0,IF(AS7&gt;=$AG$20,$AG$20,AS7)))</f>
        <v>0</v>
      </c>
      <c r="AT8" s="56"/>
      <c r="AU8" s="56"/>
      <c r="AV8" s="56">
        <f>IF(AK4=0,0,IF(AV44=0,0,IF(AV7&gt;=$AG$20,$AG$20,AV7)))</f>
        <v>0</v>
      </c>
      <c r="AW8" s="56"/>
      <c r="AX8" s="56"/>
      <c r="AY8" s="53" t="s">
        <v>85</v>
      </c>
      <c r="AZ8" s="56">
        <f>IF(AK5=0,0,IF(AZ44=0,0,IF(AZ7&gt;=$AG$20,$AG$20,AZ7)))</f>
        <v>0</v>
      </c>
      <c r="BA8" s="56"/>
      <c r="BB8" s="56"/>
      <c r="BC8" s="56">
        <f>IF(AK5=0,0,IF(BC44=0,0,IF(BC7&gt;=$AG$20,$AG$20,BC7)))</f>
        <v>0</v>
      </c>
      <c r="BD8" s="56"/>
      <c r="BE8" s="56"/>
      <c r="BF8" s="53" t="s">
        <v>85</v>
      </c>
      <c r="BG8" s="56">
        <f>IF(AK6=0,0,IF(BG44=0,0,IF(BG7&gt;=$AG$20,$AG$20,BG7)))</f>
        <v>0</v>
      </c>
      <c r="BH8" s="56"/>
      <c r="BI8" s="56"/>
      <c r="BJ8" s="56">
        <f>IF(AK6=0,0,IF(BJ44=0,0,IF(BJ7&gt;=$AG$20,$AG$20,BJ7)))</f>
        <v>0</v>
      </c>
      <c r="BK8" s="56"/>
      <c r="BL8" s="56"/>
      <c r="BM8" s="53" t="s">
        <v>85</v>
      </c>
      <c r="BN8" s="56">
        <f>IF(AK7=0,0,IF(BN44=0,0,IF(BN7&gt;=$AG$20,$AG$20,BN7)))</f>
        <v>0</v>
      </c>
      <c r="BO8" s="56"/>
      <c r="BP8" s="56"/>
      <c r="BQ8" s="56">
        <f>IF(AR6=0,0,IF(BQ44=0,0,IF(BQ7&gt;=$AG$20,$AG$20,BQ7)))</f>
        <v>0</v>
      </c>
      <c r="BR8" s="56"/>
      <c r="BS8" s="56"/>
      <c r="BT8" s="53" t="s">
        <v>85</v>
      </c>
      <c r="BU8" s="56">
        <f>IF(AK8=0,0,IF(BU44=0,0,IF(BU7&gt;=$AG$20,$AG$20,BU7)))</f>
        <v>0</v>
      </c>
      <c r="BV8" s="56"/>
      <c r="BW8" s="56"/>
      <c r="BX8" s="56">
        <f>IF(AK8=0,0,IF(BX44=0,0,IF(BX7&gt;=$AG$20,$AG$20,BX7)))</f>
        <v>0</v>
      </c>
      <c r="BY8" s="56"/>
      <c r="BZ8" s="56"/>
      <c r="CA8" s="53" t="s">
        <v>85</v>
      </c>
      <c r="CB8" s="56">
        <f>IF(AK9=0,0,IF(CB44=0,0,IF(CB7&gt;=$AG$20,$AG$20,CB7)))</f>
        <v>0</v>
      </c>
      <c r="CC8" s="56"/>
      <c r="CD8" s="56"/>
      <c r="CE8" s="56">
        <f>IF(AK9=0,0,IF(CE44=0,0,IF(CE7&gt;=$AG$20,$AG$20,CE7)))</f>
        <v>0</v>
      </c>
      <c r="CF8" s="56"/>
      <c r="CG8" s="56"/>
      <c r="CH8" s="52"/>
      <c r="CK8" s="49"/>
      <c r="CL8" s="49"/>
      <c r="CM8" s="49"/>
      <c r="CN8" s="49"/>
      <c r="CO8" s="49"/>
      <c r="CP8" s="49"/>
      <c r="CQ8" s="49"/>
      <c r="CR8" s="49"/>
      <c r="CS8" s="49"/>
      <c r="CT8" s="3"/>
      <c r="CU8" s="3"/>
    </row>
    <row r="9" spans="1:99" ht="12" customHeight="1" x14ac:dyDescent="0.15">
      <c r="A9" s="73"/>
      <c r="B9" s="73"/>
      <c r="C9" s="73"/>
      <c r="D9" s="73"/>
      <c r="E9" s="73"/>
      <c r="F9" s="73"/>
      <c r="G9" s="73"/>
      <c r="H9" s="70"/>
      <c r="I9" s="70"/>
      <c r="J9" s="70"/>
      <c r="K9" s="70"/>
      <c r="L9" s="70"/>
      <c r="M9" s="70"/>
      <c r="N9" s="88"/>
      <c r="O9" s="88"/>
      <c r="P9" s="73"/>
      <c r="Q9" s="73"/>
      <c r="R9" s="70"/>
      <c r="S9" s="70"/>
      <c r="T9" s="73"/>
      <c r="U9" s="73"/>
      <c r="V9" s="73"/>
      <c r="W9" s="73"/>
      <c r="X9" s="88"/>
      <c r="Y9" s="88"/>
      <c r="Z9" s="93"/>
      <c r="AA9" s="94"/>
      <c r="AF9" s="60">
        <f>IF(D21=0,0,D21)</f>
        <v>0</v>
      </c>
      <c r="AG9" s="61">
        <f>$AG$4</f>
        <v>46113</v>
      </c>
      <c r="AH9" s="61">
        <f>$AH$4</f>
        <v>22282</v>
      </c>
      <c r="AI9" s="61">
        <f>$AI$4</f>
        <v>43922</v>
      </c>
      <c r="AJ9" s="55">
        <f t="shared" si="0"/>
        <v>0</v>
      </c>
      <c r="AK9" s="55" t="str">
        <f>IF(AF9&gt;=AH9,0,AK3)</f>
        <v>65歳以上</v>
      </c>
      <c r="AL9" s="55">
        <f>IF(AF9&lt;=AI9,0,AL3)</f>
        <v>0</v>
      </c>
      <c r="AM9" s="55">
        <f>IF(B21=$AG$39,1,0)</f>
        <v>0</v>
      </c>
      <c r="AN9" s="55">
        <f>IF(B21=$AG$39,IF(F21&gt;550000,1,IF(AND(AK9=0,N21&gt;600000),1,IF(AND(AK9="65歳以上",N21&gt;1100000),1,0))),0)</f>
        <v>0</v>
      </c>
      <c r="AO9" s="55"/>
      <c r="AP9" s="52"/>
      <c r="AQ9" s="53"/>
      <c r="AR9" s="53"/>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2"/>
      <c r="CK9" s="49"/>
      <c r="CL9" s="49"/>
      <c r="CM9" s="49"/>
      <c r="CN9" s="49"/>
      <c r="CO9" s="49"/>
      <c r="CP9" s="49"/>
      <c r="CQ9" s="49"/>
      <c r="CR9" s="49"/>
      <c r="CS9" s="49"/>
      <c r="CT9" s="3"/>
      <c r="CU9" s="3"/>
    </row>
    <row r="10" spans="1:99" ht="12" customHeight="1" x14ac:dyDescent="0.15">
      <c r="A10" s="25" t="s">
        <v>11</v>
      </c>
      <c r="B10" s="68"/>
      <c r="C10" s="68"/>
      <c r="D10" s="74"/>
      <c r="E10" s="75"/>
      <c r="F10" s="78"/>
      <c r="G10" s="79" t="s">
        <v>107</v>
      </c>
      <c r="H10" s="82"/>
      <c r="I10" s="82"/>
      <c r="J10" s="77">
        <f>IF(L10=$AG$34,AV6,AS6)</f>
        <v>0</v>
      </c>
      <c r="K10" s="76" t="s">
        <v>18</v>
      </c>
      <c r="L10" s="75"/>
      <c r="M10" s="75"/>
      <c r="N10" s="78"/>
      <c r="O10" s="79" t="s">
        <v>18</v>
      </c>
      <c r="P10" s="77">
        <f>IF(L10=$AG$34,AV7,AS7)</f>
        <v>0</v>
      </c>
      <c r="Q10" s="76" t="s">
        <v>18</v>
      </c>
      <c r="R10" s="78"/>
      <c r="S10" s="79" t="s">
        <v>18</v>
      </c>
      <c r="T10" s="77">
        <f>IF(J10+P10+R10&lt;=0,0,J10+P10+R10)</f>
        <v>0</v>
      </c>
      <c r="U10" s="76" t="s">
        <v>18</v>
      </c>
      <c r="V10" s="77">
        <f>IF(B10=$AG$39,IF(T10&lt;=$AG$14,T10,IF(T10&lt;=$AF$14,$AG$14,IF(T10&lt;=$AF$15,$AG$15,(IF(T10&lt;=$AF$16,$AG$16,0))))),0)</f>
        <v>0</v>
      </c>
      <c r="W10" s="76" t="s">
        <v>18</v>
      </c>
      <c r="X10" s="77">
        <f>IF(B10=$AG$39,T10-V10,0)</f>
        <v>0</v>
      </c>
      <c r="Y10" s="76" t="s">
        <v>18</v>
      </c>
      <c r="Z10" s="78"/>
      <c r="AA10" s="79" t="s">
        <v>18</v>
      </c>
      <c r="AE10" s="2"/>
      <c r="AF10" s="53"/>
      <c r="AG10" s="53"/>
      <c r="AH10" s="53"/>
      <c r="AI10" s="53"/>
      <c r="AJ10" s="53"/>
      <c r="AK10" s="52"/>
      <c r="AL10" s="52"/>
      <c r="AM10" s="53"/>
      <c r="AN10" s="53"/>
      <c r="AO10" s="53"/>
      <c r="AP10" s="52"/>
      <c r="AQ10" s="53" t="s">
        <v>78</v>
      </c>
      <c r="AR10" s="53" t="s">
        <v>43</v>
      </c>
      <c r="AS10" s="56">
        <f>ROUNDDOWN(SUM(AS11:AS21),0)</f>
        <v>0</v>
      </c>
      <c r="AT10" s="56"/>
      <c r="AU10" s="56"/>
      <c r="AV10" s="56">
        <f>IF(L10=$AG$34,ROUNDDOWN(AS10*0.3,0),0)</f>
        <v>0</v>
      </c>
      <c r="AW10" s="56"/>
      <c r="AX10" s="56"/>
      <c r="AY10" s="56"/>
      <c r="AZ10" s="56">
        <f>ROUNDDOWN(SUM(AZ11:AZ21),0)</f>
        <v>0</v>
      </c>
      <c r="BA10" s="56"/>
      <c r="BB10" s="56"/>
      <c r="BC10" s="56">
        <f>IF(L13=$AG$34,ROUNDDOWN(AZ10*0.3,0),0)</f>
        <v>0</v>
      </c>
      <c r="BD10" s="56"/>
      <c r="BE10" s="56"/>
      <c r="BF10" s="56"/>
      <c r="BG10" s="56">
        <f>ROUNDDOWN(SUM(BG11:BG21),0)</f>
        <v>0</v>
      </c>
      <c r="BH10" s="56"/>
      <c r="BI10" s="56"/>
      <c r="BJ10" s="56">
        <f>IF(L15=$AG$34,ROUNDDOWN(BG10*0.3,0),0)</f>
        <v>0</v>
      </c>
      <c r="BK10" s="56"/>
      <c r="BL10" s="56"/>
      <c r="BM10" s="56"/>
      <c r="BN10" s="56">
        <f>ROUNDDOWN(SUM(BN11:BN21),0)</f>
        <v>0</v>
      </c>
      <c r="BO10" s="56"/>
      <c r="BP10" s="56"/>
      <c r="BQ10" s="56">
        <f>IF(L17=$AG$34,ROUNDDOWN(BN10*0.3,0),0)</f>
        <v>0</v>
      </c>
      <c r="BR10" s="56"/>
      <c r="BS10" s="56"/>
      <c r="BT10" s="56"/>
      <c r="BU10" s="56">
        <f>ROUNDDOWN(SUM(BU11:BU21),0)</f>
        <v>0</v>
      </c>
      <c r="BV10" s="56"/>
      <c r="BW10" s="56"/>
      <c r="BX10" s="56">
        <f>IF(L19=$AG$34,ROUNDDOWN(BU10*0.3,0),0)</f>
        <v>0</v>
      </c>
      <c r="BY10" s="56"/>
      <c r="BZ10" s="56"/>
      <c r="CA10" s="56"/>
      <c r="CB10" s="56">
        <f>ROUNDDOWN(SUM(CB11:CB21),0)</f>
        <v>0</v>
      </c>
      <c r="CC10" s="56"/>
      <c r="CD10" s="56"/>
      <c r="CE10" s="56">
        <f>IF(L21=$AG$34,ROUNDDOWN(CB10*0.3,0),0)</f>
        <v>0</v>
      </c>
      <c r="CF10" s="56"/>
      <c r="CG10" s="56"/>
      <c r="CH10" s="63"/>
      <c r="CI10" s="49"/>
      <c r="CJ10" s="49"/>
      <c r="CK10" s="49"/>
      <c r="CL10" s="49"/>
      <c r="CM10" s="49"/>
      <c r="CN10" s="49"/>
      <c r="CO10" s="49"/>
      <c r="CP10" s="49"/>
      <c r="CQ10" s="49"/>
      <c r="CR10" s="49"/>
      <c r="CS10" s="49"/>
      <c r="CT10" s="3"/>
      <c r="CU10" s="3"/>
    </row>
    <row r="11" spans="1:99" ht="12" customHeight="1" x14ac:dyDescent="0.15">
      <c r="A11" s="69" t="s">
        <v>10</v>
      </c>
      <c r="B11" s="68"/>
      <c r="C11" s="68"/>
      <c r="D11" s="75"/>
      <c r="E11" s="75"/>
      <c r="F11" s="78"/>
      <c r="G11" s="79"/>
      <c r="H11" s="82"/>
      <c r="I11" s="82"/>
      <c r="J11" s="77"/>
      <c r="K11" s="76"/>
      <c r="L11" s="75"/>
      <c r="M11" s="75"/>
      <c r="N11" s="78"/>
      <c r="O11" s="79"/>
      <c r="P11" s="77"/>
      <c r="Q11" s="76"/>
      <c r="R11" s="78"/>
      <c r="S11" s="79"/>
      <c r="T11" s="77"/>
      <c r="U11" s="76"/>
      <c r="V11" s="77"/>
      <c r="W11" s="76"/>
      <c r="X11" s="77"/>
      <c r="Y11" s="76"/>
      <c r="Z11" s="78"/>
      <c r="AA11" s="79"/>
      <c r="AB11" s="5"/>
      <c r="AF11" s="52"/>
      <c r="AG11" s="52"/>
      <c r="AH11" s="52"/>
      <c r="AI11" s="52"/>
      <c r="AJ11" s="52"/>
      <c r="AK11" s="52"/>
      <c r="AL11" s="52"/>
      <c r="AM11" s="52"/>
      <c r="AN11" s="52"/>
      <c r="AO11" s="53"/>
      <c r="AP11" s="53"/>
      <c r="AQ11" s="53">
        <v>0</v>
      </c>
      <c r="AR11" s="64">
        <v>650999</v>
      </c>
      <c r="AS11" s="57">
        <f>IF(AS$3&lt;=$AR11,0,0)</f>
        <v>0</v>
      </c>
      <c r="AT11" s="57"/>
      <c r="AU11" s="57"/>
      <c r="AV11" s="57"/>
      <c r="AW11" s="57"/>
      <c r="AX11" s="57"/>
      <c r="AY11" s="57"/>
      <c r="AZ11" s="57">
        <f>IF(AZ$3&lt;=$AR11,0,0)</f>
        <v>0</v>
      </c>
      <c r="BA11" s="57"/>
      <c r="BB11" s="57"/>
      <c r="BC11" s="57"/>
      <c r="BD11" s="57"/>
      <c r="BE11" s="57"/>
      <c r="BF11" s="57"/>
      <c r="BG11" s="57">
        <f>IF(BG$3&lt;=$AR11,0,0)</f>
        <v>0</v>
      </c>
      <c r="BH11" s="57"/>
      <c r="BI11" s="57"/>
      <c r="BJ11" s="57"/>
      <c r="BK11" s="57"/>
      <c r="BL11" s="57"/>
      <c r="BM11" s="57"/>
      <c r="BN11" s="57">
        <f>IF(BN$3&lt;=$AR11,0,0)</f>
        <v>0</v>
      </c>
      <c r="BO11" s="57"/>
      <c r="BP11" s="57"/>
      <c r="BQ11" s="57"/>
      <c r="BR11" s="57"/>
      <c r="BS11" s="57"/>
      <c r="BT11" s="57"/>
      <c r="BU11" s="57">
        <f>IF(BU$3&lt;=$AR11,0,0)</f>
        <v>0</v>
      </c>
      <c r="BV11" s="57"/>
      <c r="BW11" s="57"/>
      <c r="BX11" s="57"/>
      <c r="BY11" s="57"/>
      <c r="BZ11" s="57"/>
      <c r="CA11" s="57"/>
      <c r="CB11" s="57">
        <f>IF(CB$3&lt;=$AR11,0,0)</f>
        <v>0</v>
      </c>
      <c r="CC11" s="57"/>
      <c r="CD11" s="57"/>
      <c r="CE11" s="57"/>
      <c r="CF11" s="57"/>
      <c r="CG11" s="57"/>
      <c r="CH11" s="63"/>
      <c r="CI11" s="49"/>
      <c r="CJ11" s="49"/>
      <c r="CK11" s="49"/>
      <c r="CL11" s="49"/>
      <c r="CM11" s="49"/>
      <c r="CN11" s="49"/>
      <c r="CO11" s="49"/>
      <c r="CP11" s="49"/>
      <c r="CQ11" s="49"/>
      <c r="CR11" s="49"/>
      <c r="CS11" s="49"/>
      <c r="CT11" s="3"/>
      <c r="CU11" s="3"/>
    </row>
    <row r="12" spans="1:99" ht="12" customHeight="1" x14ac:dyDescent="0.15">
      <c r="A12" s="70"/>
      <c r="B12" s="68"/>
      <c r="C12" s="68"/>
      <c r="D12" s="75"/>
      <c r="E12" s="75"/>
      <c r="F12" s="78"/>
      <c r="G12" s="79"/>
      <c r="H12" s="82"/>
      <c r="I12" s="82"/>
      <c r="J12" s="77"/>
      <c r="K12" s="76"/>
      <c r="L12" s="75"/>
      <c r="M12" s="75"/>
      <c r="N12" s="78"/>
      <c r="O12" s="79"/>
      <c r="P12" s="77"/>
      <c r="Q12" s="76"/>
      <c r="R12" s="78"/>
      <c r="S12" s="79"/>
      <c r="T12" s="77"/>
      <c r="U12" s="76"/>
      <c r="V12" s="77"/>
      <c r="W12" s="76"/>
      <c r="X12" s="77"/>
      <c r="Y12" s="76"/>
      <c r="Z12" s="78"/>
      <c r="AA12" s="79"/>
      <c r="AE12" s="2"/>
      <c r="AF12" s="53"/>
      <c r="AG12" s="53"/>
      <c r="AH12" s="53"/>
      <c r="AI12" s="53"/>
      <c r="AJ12" s="53"/>
      <c r="AK12" s="53"/>
      <c r="AL12" s="53"/>
      <c r="AM12" s="53"/>
      <c r="AN12" s="52"/>
      <c r="AO12" s="52"/>
      <c r="AP12" s="52"/>
      <c r="AQ12" s="64">
        <v>651000</v>
      </c>
      <c r="AR12" s="65">
        <v>1618999</v>
      </c>
      <c r="AS12" s="57">
        <f>IF(AND($AQ12&lt;=AS$3,AS$3&lt;=$AR12),AS$3-650000,0)</f>
        <v>0</v>
      </c>
      <c r="AT12" s="57"/>
      <c r="AU12" s="57"/>
      <c r="AV12" s="57"/>
      <c r="AW12" s="57"/>
      <c r="AX12" s="57"/>
      <c r="AY12" s="57"/>
      <c r="AZ12" s="57">
        <f>IF(AND($AQ12&lt;=AZ$3,AZ$3&lt;=$AR12),AZ$3-650000,0)</f>
        <v>0</v>
      </c>
      <c r="BA12" s="57"/>
      <c r="BB12" s="57"/>
      <c r="BC12" s="57"/>
      <c r="BD12" s="57"/>
      <c r="BE12" s="57"/>
      <c r="BF12" s="57"/>
      <c r="BG12" s="57">
        <f>IF(AND($AQ12&lt;=BG$3,BG$3&lt;=$AR12),BG$3-650000,0)</f>
        <v>0</v>
      </c>
      <c r="BH12" s="57"/>
      <c r="BI12" s="57"/>
      <c r="BJ12" s="57"/>
      <c r="BK12" s="57"/>
      <c r="BL12" s="57"/>
      <c r="BM12" s="57"/>
      <c r="BN12" s="57">
        <f>IF(AND($AQ12&lt;=BN$3,BN$3&lt;=$AR12),BN$3-650000,0)</f>
        <v>0</v>
      </c>
      <c r="BO12" s="57"/>
      <c r="BP12" s="57"/>
      <c r="BQ12" s="57"/>
      <c r="BR12" s="57"/>
      <c r="BS12" s="57"/>
      <c r="BT12" s="57"/>
      <c r="BU12" s="57">
        <f>IF(AND($AQ12&lt;=BU$3,BU$3&lt;=$AR12),BU$3-650000,0)</f>
        <v>0</v>
      </c>
      <c r="BV12" s="57"/>
      <c r="BW12" s="57"/>
      <c r="BX12" s="57"/>
      <c r="BY12" s="57"/>
      <c r="BZ12" s="57"/>
      <c r="CA12" s="57"/>
      <c r="CB12" s="57">
        <f>IF(AND($AQ12&lt;=CB$3,CB$3&lt;=$AR12),CB$3-650000,0)</f>
        <v>0</v>
      </c>
      <c r="CC12" s="57"/>
      <c r="CD12" s="57"/>
      <c r="CE12" s="57"/>
      <c r="CF12" s="57"/>
      <c r="CG12" s="57"/>
      <c r="CH12" s="63"/>
      <c r="CI12" s="49"/>
      <c r="CJ12" s="49"/>
      <c r="CK12" s="49"/>
      <c r="CL12" s="49"/>
      <c r="CM12" s="49"/>
      <c r="CN12" s="49"/>
      <c r="CO12" s="49"/>
      <c r="CP12" s="49"/>
      <c r="CQ12" s="49"/>
      <c r="CR12" s="49"/>
      <c r="CS12" s="49"/>
      <c r="CT12" s="3"/>
      <c r="CU12" s="3"/>
    </row>
    <row r="13" spans="1:99" ht="12" customHeight="1" x14ac:dyDescent="0.15">
      <c r="A13" s="73" t="s">
        <v>12</v>
      </c>
      <c r="B13" s="68"/>
      <c r="C13" s="68"/>
      <c r="D13" s="74"/>
      <c r="E13" s="75"/>
      <c r="F13" s="78"/>
      <c r="G13" s="79" t="s">
        <v>98</v>
      </c>
      <c r="H13" s="82"/>
      <c r="I13" s="82"/>
      <c r="J13" s="77">
        <f>IF(L13=$AG$34,BC6,AZ6)</f>
        <v>0</v>
      </c>
      <c r="K13" s="76" t="s">
        <v>18</v>
      </c>
      <c r="L13" s="75"/>
      <c r="M13" s="75"/>
      <c r="N13" s="78"/>
      <c r="O13" s="79" t="s">
        <v>18</v>
      </c>
      <c r="P13" s="80">
        <f>IF(L13=$AG$34,BC7,AZ7)</f>
        <v>0</v>
      </c>
      <c r="Q13" s="76" t="s">
        <v>18</v>
      </c>
      <c r="R13" s="78"/>
      <c r="S13" s="79" t="s">
        <v>18</v>
      </c>
      <c r="T13" s="77">
        <f>IF(J13+P13+R13&lt;=0,0,J13+P13+R13)</f>
        <v>0</v>
      </c>
      <c r="U13" s="76" t="s">
        <v>18</v>
      </c>
      <c r="V13" s="77">
        <f>IF(B13=$AG$39,IF(T13&lt;=$AG$14,T13,IF(T13&lt;=$AF$14,$AG$14,IF(T13&lt;=$AF$15,$AG$15,(IF(T13&lt;=$AF$16,$AG$16,0))))),0)</f>
        <v>0</v>
      </c>
      <c r="W13" s="76" t="s">
        <v>18</v>
      </c>
      <c r="X13" s="77">
        <f>IF(B13=$AG$39,T13-V13,0)</f>
        <v>0</v>
      </c>
      <c r="Y13" s="76" t="s">
        <v>18</v>
      </c>
      <c r="Z13" s="78"/>
      <c r="AA13" s="79" t="s">
        <v>18</v>
      </c>
      <c r="AF13" s="53" t="s">
        <v>82</v>
      </c>
      <c r="AG13" s="52"/>
      <c r="AH13" s="52"/>
      <c r="AI13" s="53" t="s">
        <v>101</v>
      </c>
      <c r="AJ13" s="52"/>
      <c r="AK13" s="52"/>
      <c r="AL13" s="52"/>
      <c r="AM13" s="52"/>
      <c r="AN13" s="52"/>
      <c r="AO13" s="52"/>
      <c r="AP13" s="53"/>
      <c r="AQ13" s="64">
        <v>1619000</v>
      </c>
      <c r="AR13" s="65">
        <v>1619999</v>
      </c>
      <c r="AS13" s="57">
        <f>IF(AND($AQ13&lt;=AS$3,AS$3&lt;=$AR13),AS$3-650000,0)</f>
        <v>0</v>
      </c>
      <c r="AT13" s="57"/>
      <c r="AU13" s="57"/>
      <c r="AV13" s="57"/>
      <c r="AW13" s="57"/>
      <c r="AX13" s="57"/>
      <c r="AY13" s="57"/>
      <c r="AZ13" s="57">
        <f t="shared" ref="AZ13:AZ17" si="1">IF(AND($AQ13&lt;=AZ$3,AZ$3&lt;=$AR13),AZ$3-650000,0)</f>
        <v>0</v>
      </c>
      <c r="BA13" s="57"/>
      <c r="BB13" s="57"/>
      <c r="BC13" s="57"/>
      <c r="BD13" s="57"/>
      <c r="BE13" s="57"/>
      <c r="BF13" s="57"/>
      <c r="BG13" s="57">
        <f t="shared" ref="BG13:BG17" si="2">IF(AND($AQ13&lt;=BG$3,BG$3&lt;=$AR13),BG$3-650000,0)</f>
        <v>0</v>
      </c>
      <c r="BH13" s="57"/>
      <c r="BI13" s="57"/>
      <c r="BJ13" s="57"/>
      <c r="BK13" s="57"/>
      <c r="BL13" s="57"/>
      <c r="BM13" s="57"/>
      <c r="BN13" s="57">
        <f t="shared" ref="BN13:BN17" si="3">IF(AND($AQ13&lt;=BN$3,BN$3&lt;=$AR13),BN$3-650000,0)</f>
        <v>0</v>
      </c>
      <c r="BO13" s="57"/>
      <c r="BP13" s="57"/>
      <c r="BQ13" s="57"/>
      <c r="BR13" s="57"/>
      <c r="BS13" s="57"/>
      <c r="BT13" s="57"/>
      <c r="BU13" s="57">
        <f t="shared" ref="BU13:BU17" si="4">IF(AND($AQ13&lt;=BU$3,BU$3&lt;=$AR13),BU$3-650000,0)</f>
        <v>0</v>
      </c>
      <c r="BV13" s="57"/>
      <c r="BW13" s="57"/>
      <c r="BX13" s="57"/>
      <c r="BY13" s="57"/>
      <c r="BZ13" s="57"/>
      <c r="CA13" s="57"/>
      <c r="CB13" s="57">
        <f t="shared" ref="CB13:CB17" si="5">IF(AND($AQ13&lt;=CB$3,CB$3&lt;=$AR13),CB$3-650000,0)</f>
        <v>0</v>
      </c>
      <c r="CC13" s="57"/>
      <c r="CD13" s="57"/>
      <c r="CE13" s="57"/>
      <c r="CF13" s="57"/>
      <c r="CG13" s="57"/>
      <c r="CH13" s="63"/>
      <c r="CI13" s="49"/>
      <c r="CJ13" s="49"/>
      <c r="CK13" s="49"/>
      <c r="CL13" s="49"/>
      <c r="CM13" s="49"/>
      <c r="CN13" s="49"/>
      <c r="CO13" s="49"/>
      <c r="CP13" s="49"/>
      <c r="CQ13" s="49"/>
      <c r="CR13" s="49"/>
      <c r="CS13" s="49"/>
      <c r="CT13" s="3"/>
      <c r="CU13" s="3"/>
    </row>
    <row r="14" spans="1:99" ht="12" customHeight="1" x14ac:dyDescent="0.15">
      <c r="A14" s="73"/>
      <c r="B14" s="68"/>
      <c r="C14" s="68"/>
      <c r="D14" s="75"/>
      <c r="E14" s="75"/>
      <c r="F14" s="78"/>
      <c r="G14" s="79"/>
      <c r="H14" s="82"/>
      <c r="I14" s="82"/>
      <c r="J14" s="77"/>
      <c r="K14" s="76"/>
      <c r="L14" s="75"/>
      <c r="M14" s="75"/>
      <c r="N14" s="78"/>
      <c r="O14" s="79"/>
      <c r="P14" s="81"/>
      <c r="Q14" s="76"/>
      <c r="R14" s="78"/>
      <c r="S14" s="79"/>
      <c r="T14" s="77"/>
      <c r="U14" s="76"/>
      <c r="V14" s="77"/>
      <c r="W14" s="76"/>
      <c r="X14" s="77"/>
      <c r="Y14" s="76"/>
      <c r="Z14" s="78"/>
      <c r="AA14" s="79"/>
      <c r="AE14" s="2"/>
      <c r="AF14" s="57">
        <v>24000000</v>
      </c>
      <c r="AG14" s="57">
        <v>430000</v>
      </c>
      <c r="AH14" s="53"/>
      <c r="AI14" s="53" t="s">
        <v>148</v>
      </c>
      <c r="AJ14" s="53" t="s">
        <v>151</v>
      </c>
      <c r="AK14" s="53"/>
      <c r="AL14" s="53"/>
      <c r="AM14" s="53"/>
      <c r="AN14" s="52"/>
      <c r="AO14" s="52"/>
      <c r="AP14" s="53"/>
      <c r="AQ14" s="64">
        <v>1620000</v>
      </c>
      <c r="AR14" s="65">
        <v>1621999</v>
      </c>
      <c r="AS14" s="57">
        <f t="shared" ref="AS14:AS17" si="6">IF(AND($AQ14&lt;=AS$3,AS$3&lt;=$AR14),AS$3-650000,0)</f>
        <v>0</v>
      </c>
      <c r="AT14" s="57"/>
      <c r="AU14" s="57"/>
      <c r="AV14" s="57"/>
      <c r="AW14" s="57"/>
      <c r="AX14" s="57"/>
      <c r="AY14" s="57"/>
      <c r="AZ14" s="57">
        <f t="shared" si="1"/>
        <v>0</v>
      </c>
      <c r="BA14" s="57"/>
      <c r="BB14" s="57"/>
      <c r="BC14" s="57"/>
      <c r="BD14" s="57"/>
      <c r="BE14" s="57"/>
      <c r="BF14" s="57"/>
      <c r="BG14" s="57">
        <f t="shared" si="2"/>
        <v>0</v>
      </c>
      <c r="BH14" s="57"/>
      <c r="BI14" s="57"/>
      <c r="BJ14" s="57"/>
      <c r="BK14" s="57"/>
      <c r="BL14" s="57"/>
      <c r="BM14" s="57"/>
      <c r="BN14" s="57">
        <f t="shared" si="3"/>
        <v>0</v>
      </c>
      <c r="BO14" s="57"/>
      <c r="BP14" s="57"/>
      <c r="BQ14" s="57"/>
      <c r="BR14" s="57"/>
      <c r="BS14" s="57"/>
      <c r="BT14" s="57"/>
      <c r="BU14" s="57">
        <f t="shared" si="4"/>
        <v>0</v>
      </c>
      <c r="BV14" s="57"/>
      <c r="BW14" s="57"/>
      <c r="BX14" s="57"/>
      <c r="BY14" s="57"/>
      <c r="BZ14" s="57"/>
      <c r="CA14" s="57"/>
      <c r="CB14" s="57">
        <f t="shared" si="5"/>
        <v>0</v>
      </c>
      <c r="CC14" s="57"/>
      <c r="CD14" s="57"/>
      <c r="CE14" s="57"/>
      <c r="CF14" s="57"/>
      <c r="CG14" s="57"/>
      <c r="CH14" s="63"/>
      <c r="CI14" s="49"/>
      <c r="CJ14" s="49"/>
      <c r="CK14" s="49"/>
      <c r="CL14" s="49"/>
      <c r="CM14" s="49"/>
      <c r="CN14" s="49"/>
      <c r="CO14" s="49"/>
      <c r="CP14" s="49"/>
      <c r="CQ14" s="49"/>
      <c r="CR14" s="49"/>
      <c r="CS14" s="49"/>
      <c r="CT14" s="3"/>
      <c r="CU14" s="3"/>
    </row>
    <row r="15" spans="1:99" ht="12" customHeight="1" x14ac:dyDescent="0.15">
      <c r="A15" s="73" t="s">
        <v>13</v>
      </c>
      <c r="B15" s="68"/>
      <c r="C15" s="68"/>
      <c r="D15" s="74"/>
      <c r="E15" s="75"/>
      <c r="F15" s="78"/>
      <c r="G15" s="79" t="s">
        <v>98</v>
      </c>
      <c r="H15" s="82"/>
      <c r="I15" s="82"/>
      <c r="J15" s="77">
        <f>IF(L15=$AG$34,BJ6,BG6)</f>
        <v>0</v>
      </c>
      <c r="K15" s="76" t="s">
        <v>18</v>
      </c>
      <c r="L15" s="75"/>
      <c r="M15" s="75"/>
      <c r="N15" s="78"/>
      <c r="O15" s="79" t="s">
        <v>18</v>
      </c>
      <c r="P15" s="80">
        <f>IF(L15=$AG$34,BJ7,BG7)</f>
        <v>0</v>
      </c>
      <c r="Q15" s="76" t="s">
        <v>18</v>
      </c>
      <c r="R15" s="78"/>
      <c r="S15" s="79" t="s">
        <v>18</v>
      </c>
      <c r="T15" s="77">
        <f>IF(J15+P15+R15&lt;=0,0,J15+P15+R15)</f>
        <v>0</v>
      </c>
      <c r="U15" s="76" t="s">
        <v>18</v>
      </c>
      <c r="V15" s="77">
        <f>IF(B15=$AG$39,IF(T15&lt;=$AG$14,T15,IF(T15&lt;=$AF$14,$AG$14,IF(T15&lt;=$AF$15,$AG$15,(IF(T15&lt;=$AF$16,$AG$16,0))))),0)</f>
        <v>0</v>
      </c>
      <c r="W15" s="76" t="s">
        <v>18</v>
      </c>
      <c r="X15" s="77">
        <f>IF(B15=$AG$39,T15-V15,0)</f>
        <v>0</v>
      </c>
      <c r="Y15" s="76" t="s">
        <v>18</v>
      </c>
      <c r="Z15" s="78"/>
      <c r="AA15" s="79" t="s">
        <v>18</v>
      </c>
      <c r="AE15" s="2"/>
      <c r="AF15" s="57">
        <v>24500000</v>
      </c>
      <c r="AG15" s="57">
        <v>290000</v>
      </c>
      <c r="AH15" s="53"/>
      <c r="AI15" s="53">
        <v>660000</v>
      </c>
      <c r="AJ15" s="53">
        <v>670000</v>
      </c>
      <c r="AK15" s="53"/>
      <c r="AL15" s="53"/>
      <c r="AM15" s="53"/>
      <c r="AN15" s="52"/>
      <c r="AO15" s="52"/>
      <c r="AP15" s="52"/>
      <c r="AQ15" s="65">
        <v>1622000</v>
      </c>
      <c r="AR15" s="65">
        <v>1623999</v>
      </c>
      <c r="AS15" s="57">
        <f t="shared" si="6"/>
        <v>0</v>
      </c>
      <c r="AT15" s="57"/>
      <c r="AU15" s="57"/>
      <c r="AV15" s="57"/>
      <c r="AW15" s="57"/>
      <c r="AX15" s="57"/>
      <c r="AY15" s="57"/>
      <c r="AZ15" s="57">
        <f t="shared" si="1"/>
        <v>0</v>
      </c>
      <c r="BA15" s="57"/>
      <c r="BB15" s="57"/>
      <c r="BC15" s="57"/>
      <c r="BD15" s="57"/>
      <c r="BE15" s="57"/>
      <c r="BF15" s="57"/>
      <c r="BG15" s="57">
        <f t="shared" si="2"/>
        <v>0</v>
      </c>
      <c r="BH15" s="57"/>
      <c r="BI15" s="57"/>
      <c r="BJ15" s="57"/>
      <c r="BK15" s="57"/>
      <c r="BL15" s="57"/>
      <c r="BM15" s="57"/>
      <c r="BN15" s="57">
        <f t="shared" si="3"/>
        <v>0</v>
      </c>
      <c r="BO15" s="57"/>
      <c r="BP15" s="57"/>
      <c r="BQ15" s="57"/>
      <c r="BR15" s="57"/>
      <c r="BS15" s="57"/>
      <c r="BT15" s="57"/>
      <c r="BU15" s="57">
        <f t="shared" si="4"/>
        <v>0</v>
      </c>
      <c r="BV15" s="57"/>
      <c r="BW15" s="57"/>
      <c r="BX15" s="57"/>
      <c r="BY15" s="57"/>
      <c r="BZ15" s="57"/>
      <c r="CA15" s="57"/>
      <c r="CB15" s="57">
        <f t="shared" si="5"/>
        <v>0</v>
      </c>
      <c r="CC15" s="57"/>
      <c r="CD15" s="57"/>
      <c r="CE15" s="57"/>
      <c r="CF15" s="57"/>
      <c r="CG15" s="57"/>
      <c r="CH15" s="63"/>
      <c r="CI15" s="49"/>
      <c r="CJ15" s="49"/>
      <c r="CK15" s="49"/>
      <c r="CL15" s="49"/>
      <c r="CM15" s="49"/>
      <c r="CN15" s="49"/>
      <c r="CO15" s="49"/>
      <c r="CP15" s="49"/>
      <c r="CQ15" s="49"/>
      <c r="CR15" s="49"/>
      <c r="CS15" s="49"/>
      <c r="CT15" s="3"/>
      <c r="CU15" s="3"/>
    </row>
    <row r="16" spans="1:99" ht="12" customHeight="1" x14ac:dyDescent="0.15">
      <c r="A16" s="73"/>
      <c r="B16" s="68"/>
      <c r="C16" s="68"/>
      <c r="D16" s="75"/>
      <c r="E16" s="75"/>
      <c r="F16" s="78"/>
      <c r="G16" s="79"/>
      <c r="H16" s="82"/>
      <c r="I16" s="82"/>
      <c r="J16" s="77"/>
      <c r="K16" s="76"/>
      <c r="L16" s="75"/>
      <c r="M16" s="75"/>
      <c r="N16" s="78"/>
      <c r="O16" s="79"/>
      <c r="P16" s="81"/>
      <c r="Q16" s="76"/>
      <c r="R16" s="78"/>
      <c r="S16" s="79"/>
      <c r="T16" s="77"/>
      <c r="U16" s="76"/>
      <c r="V16" s="77"/>
      <c r="W16" s="76"/>
      <c r="X16" s="77"/>
      <c r="Y16" s="76"/>
      <c r="Z16" s="78"/>
      <c r="AA16" s="79"/>
      <c r="AF16" s="57">
        <v>25000000</v>
      </c>
      <c r="AG16" s="57">
        <v>150000</v>
      </c>
      <c r="AH16" s="52"/>
      <c r="AI16" s="53">
        <v>260000</v>
      </c>
      <c r="AJ16" s="53">
        <v>260000</v>
      </c>
      <c r="AK16" s="52"/>
      <c r="AL16" s="52"/>
      <c r="AM16" s="52"/>
      <c r="AN16" s="52"/>
      <c r="AO16" s="52"/>
      <c r="AP16" s="52"/>
      <c r="AQ16" s="65">
        <v>1624000</v>
      </c>
      <c r="AR16" s="65">
        <v>1627999</v>
      </c>
      <c r="AS16" s="57">
        <f t="shared" si="6"/>
        <v>0</v>
      </c>
      <c r="AT16" s="57"/>
      <c r="AU16" s="57"/>
      <c r="AV16" s="57"/>
      <c r="AW16" s="57"/>
      <c r="AX16" s="57"/>
      <c r="AY16" s="57"/>
      <c r="AZ16" s="57">
        <f t="shared" si="1"/>
        <v>0</v>
      </c>
      <c r="BA16" s="57"/>
      <c r="BB16" s="57"/>
      <c r="BC16" s="57"/>
      <c r="BD16" s="57"/>
      <c r="BE16" s="57"/>
      <c r="BF16" s="57"/>
      <c r="BG16" s="57">
        <f t="shared" si="2"/>
        <v>0</v>
      </c>
      <c r="BH16" s="57"/>
      <c r="BI16" s="57"/>
      <c r="BJ16" s="57"/>
      <c r="BK16" s="57"/>
      <c r="BL16" s="57"/>
      <c r="BM16" s="57"/>
      <c r="BN16" s="57">
        <f t="shared" si="3"/>
        <v>0</v>
      </c>
      <c r="BO16" s="57"/>
      <c r="BP16" s="57"/>
      <c r="BQ16" s="57"/>
      <c r="BR16" s="57"/>
      <c r="BS16" s="57"/>
      <c r="BT16" s="57"/>
      <c r="BU16" s="57">
        <f t="shared" si="4"/>
        <v>0</v>
      </c>
      <c r="BV16" s="57"/>
      <c r="BW16" s="57"/>
      <c r="BX16" s="57"/>
      <c r="BY16" s="57"/>
      <c r="BZ16" s="57"/>
      <c r="CA16" s="57"/>
      <c r="CB16" s="57">
        <f t="shared" si="5"/>
        <v>0</v>
      </c>
      <c r="CC16" s="57"/>
      <c r="CD16" s="57"/>
      <c r="CE16" s="57"/>
      <c r="CF16" s="57"/>
      <c r="CG16" s="57"/>
      <c r="CH16" s="63"/>
      <c r="CI16" s="49"/>
    </row>
    <row r="17" spans="1:87" ht="12" customHeight="1" x14ac:dyDescent="0.15">
      <c r="A17" s="73" t="s">
        <v>14</v>
      </c>
      <c r="B17" s="68"/>
      <c r="C17" s="68"/>
      <c r="D17" s="74"/>
      <c r="E17" s="75"/>
      <c r="F17" s="78"/>
      <c r="G17" s="79" t="s">
        <v>98</v>
      </c>
      <c r="H17" s="82"/>
      <c r="I17" s="82"/>
      <c r="J17" s="77">
        <f>IF(L17=$AG$34,BQ6,BN6)</f>
        <v>0</v>
      </c>
      <c r="K17" s="76" t="s">
        <v>18</v>
      </c>
      <c r="L17" s="75"/>
      <c r="M17" s="75"/>
      <c r="N17" s="78"/>
      <c r="O17" s="79" t="s">
        <v>18</v>
      </c>
      <c r="P17" s="80">
        <f>IF(L17=$AG$34,BQ7,BN7)</f>
        <v>0</v>
      </c>
      <c r="Q17" s="76" t="s">
        <v>18</v>
      </c>
      <c r="R17" s="78"/>
      <c r="S17" s="79" t="s">
        <v>18</v>
      </c>
      <c r="T17" s="77">
        <f>IF(J17+P17+R17&lt;=0,0,J17+P17+R17)</f>
        <v>0</v>
      </c>
      <c r="U17" s="76" t="s">
        <v>18</v>
      </c>
      <c r="V17" s="77">
        <f>IF(B17=$AG$39,IF(T17&lt;=$AG$14,T17,IF(T17&lt;=$AF$14,$AG$14,IF(T17&lt;=$AF$15,$AG$15,(IF(T17&lt;=$AF$16,$AG$16,0))))),0)</f>
        <v>0</v>
      </c>
      <c r="W17" s="76" t="s">
        <v>18</v>
      </c>
      <c r="X17" s="77">
        <f>IF(B17=$AG$39,T17-V17,0)</f>
        <v>0</v>
      </c>
      <c r="Y17" s="76" t="s">
        <v>18</v>
      </c>
      <c r="Z17" s="78"/>
      <c r="AA17" s="79" t="s">
        <v>18</v>
      </c>
      <c r="AF17" s="52"/>
      <c r="AG17" s="57">
        <v>0</v>
      </c>
      <c r="AH17" s="52"/>
      <c r="AI17" s="53">
        <v>170000</v>
      </c>
      <c r="AJ17" s="53">
        <v>170000</v>
      </c>
      <c r="AK17" s="52"/>
      <c r="AL17" s="52"/>
      <c r="AM17" s="52"/>
      <c r="AN17" s="52"/>
      <c r="AO17" s="52"/>
      <c r="AP17" s="52"/>
      <c r="AQ17" s="65">
        <v>1628000</v>
      </c>
      <c r="AR17" s="65">
        <v>1899999</v>
      </c>
      <c r="AS17" s="57">
        <f t="shared" si="6"/>
        <v>0</v>
      </c>
      <c r="AT17" s="57"/>
      <c r="AU17" s="57"/>
      <c r="AV17" s="57"/>
      <c r="AW17" s="57"/>
      <c r="AX17" s="57"/>
      <c r="AY17" s="57"/>
      <c r="AZ17" s="57">
        <f t="shared" si="1"/>
        <v>0</v>
      </c>
      <c r="BA17" s="57"/>
      <c r="BB17" s="57"/>
      <c r="BC17" s="57"/>
      <c r="BD17" s="57"/>
      <c r="BE17" s="57"/>
      <c r="BF17" s="57"/>
      <c r="BG17" s="57">
        <f t="shared" si="2"/>
        <v>0</v>
      </c>
      <c r="BH17" s="57"/>
      <c r="BI17" s="57"/>
      <c r="BJ17" s="57"/>
      <c r="BK17" s="57"/>
      <c r="BL17" s="57"/>
      <c r="BM17" s="57"/>
      <c r="BN17" s="57">
        <f t="shared" si="3"/>
        <v>0</v>
      </c>
      <c r="BO17" s="57"/>
      <c r="BP17" s="57"/>
      <c r="BQ17" s="57"/>
      <c r="BR17" s="57"/>
      <c r="BS17" s="57"/>
      <c r="BT17" s="57"/>
      <c r="BU17" s="57">
        <f t="shared" si="4"/>
        <v>0</v>
      </c>
      <c r="BV17" s="57"/>
      <c r="BW17" s="57"/>
      <c r="BX17" s="57"/>
      <c r="BY17" s="57"/>
      <c r="BZ17" s="57"/>
      <c r="CA17" s="57"/>
      <c r="CB17" s="57">
        <f t="shared" si="5"/>
        <v>0</v>
      </c>
      <c r="CC17" s="57"/>
      <c r="CD17" s="57"/>
      <c r="CE17" s="57"/>
      <c r="CF17" s="57"/>
      <c r="CG17" s="57"/>
      <c r="CH17" s="63"/>
      <c r="CI17" s="49"/>
    </row>
    <row r="18" spans="1:87" ht="12" customHeight="1" x14ac:dyDescent="0.15">
      <c r="A18" s="73"/>
      <c r="B18" s="68"/>
      <c r="C18" s="68"/>
      <c r="D18" s="75"/>
      <c r="E18" s="75"/>
      <c r="F18" s="78"/>
      <c r="G18" s="79"/>
      <c r="H18" s="82"/>
      <c r="I18" s="82"/>
      <c r="J18" s="77"/>
      <c r="K18" s="76"/>
      <c r="L18" s="75"/>
      <c r="M18" s="75"/>
      <c r="N18" s="78"/>
      <c r="O18" s="79"/>
      <c r="P18" s="81"/>
      <c r="Q18" s="76"/>
      <c r="R18" s="78"/>
      <c r="S18" s="79"/>
      <c r="T18" s="77"/>
      <c r="U18" s="76"/>
      <c r="V18" s="77"/>
      <c r="W18" s="76"/>
      <c r="X18" s="77"/>
      <c r="Y18" s="76"/>
      <c r="Z18" s="78"/>
      <c r="AA18" s="79"/>
      <c r="AF18" s="52"/>
      <c r="AG18" s="52"/>
      <c r="AH18" s="52"/>
      <c r="AI18" s="52"/>
      <c r="AJ18" s="52"/>
      <c r="AK18" s="52"/>
      <c r="AL18" s="52"/>
      <c r="AM18" s="52"/>
      <c r="AN18" s="52"/>
      <c r="AO18" s="52"/>
      <c r="AP18" s="52"/>
      <c r="AQ18" s="65">
        <v>1900000</v>
      </c>
      <c r="AR18" s="65">
        <v>3599999</v>
      </c>
      <c r="AS18" s="57">
        <f>IF(AND($AQ18&lt;=AS$3,AS$3&lt;=$AR18),(ROUNDDOWN(AS$3/4,-3)*2.8-80000),0)</f>
        <v>0</v>
      </c>
      <c r="AT18" s="57"/>
      <c r="AU18" s="57"/>
      <c r="AV18" s="57"/>
      <c r="AW18" s="57"/>
      <c r="AX18" s="57"/>
      <c r="AY18" s="57"/>
      <c r="AZ18" s="57">
        <f>IF(AND($AQ18&lt;=AZ$3,AZ$3&lt;=$AR18),(ROUNDDOWN(AZ$3/4,-3)*2.8-80000),0)</f>
        <v>0</v>
      </c>
      <c r="BA18" s="57"/>
      <c r="BB18" s="57"/>
      <c r="BC18" s="57"/>
      <c r="BD18" s="57"/>
      <c r="BE18" s="57"/>
      <c r="BF18" s="57"/>
      <c r="BG18" s="57">
        <f>IF(AND($AQ18&lt;=BG$3,BG$3&lt;=$AR18),(ROUNDDOWN(BG$3/4,-3)*2.8-80000),0)</f>
        <v>0</v>
      </c>
      <c r="BH18" s="57"/>
      <c r="BI18" s="57"/>
      <c r="BJ18" s="57"/>
      <c r="BK18" s="57"/>
      <c r="BL18" s="57"/>
      <c r="BM18" s="57"/>
      <c r="BN18" s="57">
        <f>IF(AND($AQ18&lt;=BN$3,BN$3&lt;=$AR18),(ROUNDDOWN(BN$3/4,-3)*2.8-80000),0)</f>
        <v>0</v>
      </c>
      <c r="BO18" s="57"/>
      <c r="BP18" s="57"/>
      <c r="BQ18" s="57"/>
      <c r="BR18" s="57"/>
      <c r="BS18" s="57"/>
      <c r="BT18" s="57"/>
      <c r="BU18" s="57">
        <f>IF(AND($AQ18&lt;=BU$3,BU$3&lt;=$AR18),(ROUNDDOWN(BU$3/4,-3)*2.8-80000),0)</f>
        <v>0</v>
      </c>
      <c r="BV18" s="57"/>
      <c r="BW18" s="57"/>
      <c r="BX18" s="57"/>
      <c r="BY18" s="57"/>
      <c r="BZ18" s="57"/>
      <c r="CA18" s="57"/>
      <c r="CB18" s="57">
        <f>IF(AND($AQ18&lt;=CB$3,CB$3&lt;=$AR18),(ROUNDDOWN(CB$3/4,-3)*2.8-80000),0)</f>
        <v>0</v>
      </c>
      <c r="CC18" s="57"/>
      <c r="CD18" s="57"/>
      <c r="CE18" s="57"/>
      <c r="CF18" s="57"/>
      <c r="CG18" s="57"/>
      <c r="CH18" s="63"/>
      <c r="CI18" s="49"/>
    </row>
    <row r="19" spans="1:87" ht="12" customHeight="1" x14ac:dyDescent="0.15">
      <c r="A19" s="73" t="s">
        <v>15</v>
      </c>
      <c r="B19" s="68"/>
      <c r="C19" s="68"/>
      <c r="D19" s="83"/>
      <c r="E19" s="84"/>
      <c r="F19" s="78"/>
      <c r="G19" s="79" t="s">
        <v>98</v>
      </c>
      <c r="H19" s="82"/>
      <c r="I19" s="82"/>
      <c r="J19" s="77">
        <f>IF(L19=$AG$34,BX6,BU6)</f>
        <v>0</v>
      </c>
      <c r="K19" s="76" t="s">
        <v>18</v>
      </c>
      <c r="L19" s="75"/>
      <c r="M19" s="75"/>
      <c r="N19" s="78"/>
      <c r="O19" s="79" t="s">
        <v>18</v>
      </c>
      <c r="P19" s="80">
        <f>IF(L19=$AG$34,BX7,BU7)</f>
        <v>0</v>
      </c>
      <c r="Q19" s="76" t="s">
        <v>18</v>
      </c>
      <c r="R19" s="78"/>
      <c r="S19" s="79" t="s">
        <v>18</v>
      </c>
      <c r="T19" s="77">
        <f>IF(J19+P19+R19&lt;=0,0,J19+P19+R19)</f>
        <v>0</v>
      </c>
      <c r="U19" s="76" t="s">
        <v>18</v>
      </c>
      <c r="V19" s="77">
        <f>IF(B19=$AG$39,IF(T19&lt;=$AG$14,T19,IF(T19&lt;=$AF$14,$AG$14,IF(T19&lt;=$AF$15,$AG$15,(IF(T19&lt;=$AF$16,$AG$16,0))))),0)</f>
        <v>0</v>
      </c>
      <c r="W19" s="76" t="s">
        <v>18</v>
      </c>
      <c r="X19" s="77">
        <f>IF(B19=$AG$39,T19-V19,0)</f>
        <v>0</v>
      </c>
      <c r="Y19" s="76" t="s">
        <v>18</v>
      </c>
      <c r="Z19" s="78"/>
      <c r="AA19" s="79" t="s">
        <v>18</v>
      </c>
      <c r="AF19" s="53" t="s">
        <v>83</v>
      </c>
      <c r="AG19" s="52"/>
      <c r="AH19" s="52"/>
      <c r="AI19" s="57">
        <f>SUM(AU2,BB2,BI2,BP2,BW2,CD2)</f>
        <v>0</v>
      </c>
      <c r="AJ19" s="52"/>
      <c r="AK19" s="52"/>
      <c r="AL19" s="52"/>
      <c r="AM19" s="52"/>
      <c r="AN19" s="52"/>
      <c r="AO19" s="52"/>
      <c r="AP19" s="53"/>
      <c r="AQ19" s="65">
        <v>3600000</v>
      </c>
      <c r="AR19" s="65">
        <v>6599999</v>
      </c>
      <c r="AS19" s="57">
        <f>IF(AND($AQ19&lt;=AS$3,AS$3&lt;=$AR19),(ROUNDDOWN(AS$3/4,-3)*3.2-440000),0)</f>
        <v>0</v>
      </c>
      <c r="AT19" s="57"/>
      <c r="AU19" s="57"/>
      <c r="AV19" s="57"/>
      <c r="AW19" s="57"/>
      <c r="AX19" s="57"/>
      <c r="AY19" s="57"/>
      <c r="AZ19" s="57">
        <f>IF(AND($AQ19&lt;=AZ$3,AZ$3&lt;=$AR19),(ROUNDDOWN(AZ$3/4,-3)*3.2-440000),0)</f>
        <v>0</v>
      </c>
      <c r="BA19" s="57"/>
      <c r="BB19" s="57"/>
      <c r="BC19" s="57"/>
      <c r="BD19" s="57"/>
      <c r="BE19" s="57"/>
      <c r="BF19" s="57"/>
      <c r="BG19" s="57">
        <f>IF(AND($AQ19&lt;=BG$3,BG$3&lt;=$AR19),(ROUNDDOWN(BG$3/4,-3)*3.2-440000),0)</f>
        <v>0</v>
      </c>
      <c r="BH19" s="57"/>
      <c r="BI19" s="57"/>
      <c r="BJ19" s="57"/>
      <c r="BK19" s="57"/>
      <c r="BL19" s="57"/>
      <c r="BM19" s="57"/>
      <c r="BN19" s="57">
        <f>IF(AND($AQ19&lt;=BN$3,BN$3&lt;=$AR19),(ROUNDDOWN(BN$3/4,-3)*3.2-440000),0)</f>
        <v>0</v>
      </c>
      <c r="BO19" s="57"/>
      <c r="BP19" s="57"/>
      <c r="BQ19" s="57"/>
      <c r="BR19" s="57"/>
      <c r="BS19" s="57"/>
      <c r="BT19" s="57"/>
      <c r="BU19" s="57">
        <f>IF(AND($AQ19&lt;=BU$3,BU$3&lt;=$AR19),(ROUNDDOWN(BU$3/4,-3)*3.2-440000),0)</f>
        <v>0</v>
      </c>
      <c r="BV19" s="57"/>
      <c r="BW19" s="57"/>
      <c r="BX19" s="57"/>
      <c r="BY19" s="57"/>
      <c r="BZ19" s="57"/>
      <c r="CA19" s="57"/>
      <c r="CB19" s="57">
        <f>IF(AND($AQ19&lt;=CB$3,CB$3&lt;=$AR19),(ROUNDDOWN(CB$3/4,-3)*3.2-440000),0)</f>
        <v>0</v>
      </c>
      <c r="CC19" s="57"/>
      <c r="CD19" s="57"/>
      <c r="CE19" s="57"/>
      <c r="CF19" s="57"/>
      <c r="CG19" s="57"/>
      <c r="CH19" s="63"/>
      <c r="CI19" s="49"/>
    </row>
    <row r="20" spans="1:87" ht="12" customHeight="1" x14ac:dyDescent="0.15">
      <c r="A20" s="73"/>
      <c r="B20" s="68"/>
      <c r="C20" s="68"/>
      <c r="D20" s="85"/>
      <c r="E20" s="86"/>
      <c r="F20" s="78"/>
      <c r="G20" s="79"/>
      <c r="H20" s="82"/>
      <c r="I20" s="82"/>
      <c r="J20" s="77"/>
      <c r="K20" s="76"/>
      <c r="L20" s="75"/>
      <c r="M20" s="75"/>
      <c r="N20" s="78"/>
      <c r="O20" s="79"/>
      <c r="P20" s="81"/>
      <c r="Q20" s="76"/>
      <c r="R20" s="78"/>
      <c r="S20" s="79"/>
      <c r="T20" s="77"/>
      <c r="U20" s="76"/>
      <c r="V20" s="77"/>
      <c r="W20" s="76"/>
      <c r="X20" s="77"/>
      <c r="Y20" s="76"/>
      <c r="Z20" s="78"/>
      <c r="AA20" s="79"/>
      <c r="AF20" s="65" t="s">
        <v>86</v>
      </c>
      <c r="AG20" s="56">
        <v>150000</v>
      </c>
      <c r="AH20" s="52"/>
      <c r="AI20" s="52"/>
      <c r="AJ20" s="52"/>
      <c r="AK20" s="53"/>
      <c r="AL20" s="53"/>
      <c r="AM20" s="53"/>
      <c r="AN20" s="53"/>
      <c r="AO20" s="53"/>
      <c r="AP20" s="53"/>
      <c r="AQ20" s="65">
        <v>6600000</v>
      </c>
      <c r="AR20" s="65">
        <v>8499999</v>
      </c>
      <c r="AS20" s="57">
        <f>IF(AND($AQ20&lt;=AS$3,AS$3&lt;=$AR20),ROUNDDOWN(AS$3*0.9-1100000,0),0)</f>
        <v>0</v>
      </c>
      <c r="AT20" s="57"/>
      <c r="AU20" s="57"/>
      <c r="AV20" s="57"/>
      <c r="AW20" s="57"/>
      <c r="AX20" s="57"/>
      <c r="AY20" s="57"/>
      <c r="AZ20" s="57">
        <f>IF(AND($AQ20&lt;=AZ$3,AZ$3&lt;=$AR20),ROUNDDOWN(AZ$3*0.9-1100000,0),0)</f>
        <v>0</v>
      </c>
      <c r="BA20" s="57"/>
      <c r="BB20" s="57"/>
      <c r="BC20" s="57"/>
      <c r="BD20" s="57"/>
      <c r="BE20" s="57"/>
      <c r="BF20" s="57"/>
      <c r="BG20" s="57">
        <f>IF(AND($AQ20&lt;=BG$3,BG$3&lt;=$AR20),ROUNDDOWN(BG$3*0.9-1100000,0),0)</f>
        <v>0</v>
      </c>
      <c r="BH20" s="57"/>
      <c r="BI20" s="57"/>
      <c r="BJ20" s="57"/>
      <c r="BK20" s="57"/>
      <c r="BL20" s="57"/>
      <c r="BM20" s="57"/>
      <c r="BN20" s="57">
        <f>IF(AND($AQ20&lt;=BN$3,BN$3&lt;=$AR20),ROUNDDOWN(BN$3*0.9-1100000,0),0)</f>
        <v>0</v>
      </c>
      <c r="BO20" s="57"/>
      <c r="BP20" s="57"/>
      <c r="BQ20" s="57"/>
      <c r="BR20" s="57"/>
      <c r="BS20" s="57"/>
      <c r="BT20" s="57"/>
      <c r="BU20" s="57">
        <f>IF(AND($AQ20&lt;=BU$3,BU$3&lt;=$AR20),ROUNDDOWN(BU$3*0.9-1100000,0),0)</f>
        <v>0</v>
      </c>
      <c r="BV20" s="57"/>
      <c r="BW20" s="57"/>
      <c r="BX20" s="57"/>
      <c r="BY20" s="57"/>
      <c r="BZ20" s="57"/>
      <c r="CA20" s="57"/>
      <c r="CB20" s="57">
        <f>IF(AND($AQ20&lt;=CB$3,CB$3&lt;=$AR20),ROUNDDOWN(CB$3*0.9-1100000,0),0)</f>
        <v>0</v>
      </c>
      <c r="CC20" s="57"/>
      <c r="CD20" s="57"/>
      <c r="CE20" s="57"/>
      <c r="CF20" s="57"/>
      <c r="CG20" s="57"/>
      <c r="CH20" s="63"/>
      <c r="CI20" s="49"/>
    </row>
    <row r="21" spans="1:87" ht="12" customHeight="1" x14ac:dyDescent="0.15">
      <c r="A21" s="73" t="s">
        <v>16</v>
      </c>
      <c r="B21" s="68"/>
      <c r="C21" s="68"/>
      <c r="D21" s="83"/>
      <c r="E21" s="84"/>
      <c r="F21" s="78"/>
      <c r="G21" s="79" t="s">
        <v>18</v>
      </c>
      <c r="H21" s="82"/>
      <c r="I21" s="82"/>
      <c r="J21" s="77">
        <f>IF(L21=$AG$34,CE6,CB6)</f>
        <v>0</v>
      </c>
      <c r="K21" s="76" t="s">
        <v>18</v>
      </c>
      <c r="L21" s="75"/>
      <c r="M21" s="75"/>
      <c r="N21" s="78"/>
      <c r="O21" s="79" t="s">
        <v>18</v>
      </c>
      <c r="P21" s="80">
        <f>IF(L21=$AG$34,CE7,CB7)</f>
        <v>0</v>
      </c>
      <c r="Q21" s="76" t="s">
        <v>18</v>
      </c>
      <c r="R21" s="78"/>
      <c r="S21" s="79" t="s">
        <v>18</v>
      </c>
      <c r="T21" s="77">
        <f>IF(J21+P21+R21&lt;=0,0,J21+P21+R21)</f>
        <v>0</v>
      </c>
      <c r="U21" s="76" t="s">
        <v>18</v>
      </c>
      <c r="V21" s="77">
        <f>IF(B21=$AG$39,IF(T21&lt;=$AG$14,T21,IF(T21&lt;=$AF$14,$AG$14,IF(T21&lt;=$AF$15,$AG$15,(IF(T21&lt;=$AF$16,$AG$16,0))))),0)</f>
        <v>0</v>
      </c>
      <c r="W21" s="76" t="s">
        <v>18</v>
      </c>
      <c r="X21" s="77">
        <f>IF(B21=$AG$39,T21-V21,0)</f>
        <v>0</v>
      </c>
      <c r="Y21" s="76" t="s">
        <v>18</v>
      </c>
      <c r="Z21" s="78"/>
      <c r="AA21" s="79" t="s">
        <v>18</v>
      </c>
      <c r="AD21" s="2"/>
      <c r="AE21" s="2"/>
      <c r="AF21" s="53">
        <v>7</v>
      </c>
      <c r="AG21" s="65">
        <v>430000</v>
      </c>
      <c r="AH21" s="65">
        <v>100000</v>
      </c>
      <c r="AI21" s="65">
        <f>AG21+IF(SUM(AN4:AN9)=0,0,AH21*(SUM(AN4:AN9)-1))</f>
        <v>430000</v>
      </c>
      <c r="AJ21" s="53">
        <f>IF(AI19=0,7,IF(AI21&gt;=$AI$19,AF21,0))</f>
        <v>7</v>
      </c>
      <c r="AK21" s="53"/>
      <c r="AL21" s="53"/>
      <c r="AM21" s="53"/>
      <c r="AN21" s="53"/>
      <c r="AO21" s="53"/>
      <c r="AP21" s="53"/>
      <c r="AQ21" s="65">
        <v>8500000</v>
      </c>
      <c r="AR21" s="65"/>
      <c r="AS21" s="57">
        <f>IF($AQ21&lt;=AS$3,AS$3-1950000,0)</f>
        <v>0</v>
      </c>
      <c r="AT21" s="57"/>
      <c r="AU21" s="57"/>
      <c r="AV21" s="57"/>
      <c r="AW21" s="57"/>
      <c r="AX21" s="57"/>
      <c r="AY21" s="57"/>
      <c r="AZ21" s="57">
        <f>IF($AQ21&lt;=AZ$3,AZ$3-1950000,0)</f>
        <v>0</v>
      </c>
      <c r="BA21" s="57"/>
      <c r="BB21" s="57"/>
      <c r="BC21" s="57"/>
      <c r="BD21" s="57"/>
      <c r="BE21" s="57"/>
      <c r="BF21" s="57"/>
      <c r="BG21" s="57">
        <f>IF($AQ21&lt;=BG$3,BG$3-1950000,0)</f>
        <v>0</v>
      </c>
      <c r="BH21" s="57"/>
      <c r="BI21" s="57"/>
      <c r="BJ21" s="57"/>
      <c r="BK21" s="57"/>
      <c r="BL21" s="57"/>
      <c r="BM21" s="57"/>
      <c r="BN21" s="57">
        <f>IF($AQ21&lt;=BN$3,BN$3-1950000,0)</f>
        <v>0</v>
      </c>
      <c r="BO21" s="57"/>
      <c r="BP21" s="57"/>
      <c r="BQ21" s="57"/>
      <c r="BR21" s="57"/>
      <c r="BS21" s="57"/>
      <c r="BT21" s="57"/>
      <c r="BU21" s="57">
        <f>IF($AQ21&lt;=BU$3,BU$3-1950000,0)</f>
        <v>0</v>
      </c>
      <c r="BV21" s="57"/>
      <c r="BW21" s="57"/>
      <c r="BX21" s="57"/>
      <c r="BY21" s="57"/>
      <c r="BZ21" s="57"/>
      <c r="CA21" s="57"/>
      <c r="CB21" s="57">
        <f>IF($AQ21&lt;=CB$3,CB$3-1950000,0)</f>
        <v>0</v>
      </c>
      <c r="CC21" s="57"/>
      <c r="CD21" s="57"/>
      <c r="CE21" s="57"/>
      <c r="CF21" s="57"/>
      <c r="CG21" s="57"/>
      <c r="CH21" s="63"/>
      <c r="CI21" s="49"/>
    </row>
    <row r="22" spans="1:87" ht="12" customHeight="1" x14ac:dyDescent="0.15">
      <c r="A22" s="73"/>
      <c r="B22" s="68"/>
      <c r="C22" s="68"/>
      <c r="D22" s="85"/>
      <c r="E22" s="86"/>
      <c r="F22" s="78"/>
      <c r="G22" s="79"/>
      <c r="H22" s="82"/>
      <c r="I22" s="82"/>
      <c r="J22" s="77"/>
      <c r="K22" s="76"/>
      <c r="L22" s="75"/>
      <c r="M22" s="75"/>
      <c r="N22" s="78"/>
      <c r="O22" s="79"/>
      <c r="P22" s="81"/>
      <c r="Q22" s="76"/>
      <c r="R22" s="78"/>
      <c r="S22" s="79"/>
      <c r="T22" s="77"/>
      <c r="U22" s="76"/>
      <c r="V22" s="77"/>
      <c r="W22" s="76"/>
      <c r="X22" s="77"/>
      <c r="Y22" s="76"/>
      <c r="Z22" s="78"/>
      <c r="AA22" s="79"/>
      <c r="AD22" s="2"/>
      <c r="AE22" s="2"/>
      <c r="AF22" s="53">
        <v>5</v>
      </c>
      <c r="AG22" s="65">
        <v>310000</v>
      </c>
      <c r="AH22" s="53"/>
      <c r="AI22" s="65">
        <f>AG21+AG22*SUM(AM4:AM9)+IF(SUM(AN4:AN9)=0,0,AH21*(SUM(AN4:AN9)-1))</f>
        <v>430000</v>
      </c>
      <c r="AJ22" s="53">
        <f>IF(AND(AI21&lt;$AI$19,AI22&gt;=$AI$19),AF22,0)</f>
        <v>0</v>
      </c>
      <c r="AK22" s="53"/>
      <c r="AL22" s="53"/>
      <c r="AM22" s="53"/>
      <c r="AN22" s="53"/>
      <c r="AO22" s="53"/>
      <c r="AP22" s="53"/>
      <c r="AQ22" s="52"/>
      <c r="AR22" s="52"/>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3"/>
      <c r="CI22" s="49"/>
    </row>
    <row r="23" spans="1:87" ht="12"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D23" s="2"/>
      <c r="AE23" s="2"/>
      <c r="AF23" s="53">
        <v>2</v>
      </c>
      <c r="AG23" s="65">
        <v>570000</v>
      </c>
      <c r="AH23" s="53"/>
      <c r="AI23" s="65">
        <f>AG21+AG23*SUM(AM4:AM9)+IF(SUM(AN4:AN9)=0,0,AH21*(SUM(AN4:AN9)-1))</f>
        <v>430000</v>
      </c>
      <c r="AJ23" s="53">
        <f>IF(AND(AI22&lt;$AI$19,AI23&gt;=$AI$19),AF23,0)</f>
        <v>0</v>
      </c>
      <c r="AK23" s="53"/>
      <c r="AL23" s="53"/>
      <c r="AM23" s="53"/>
      <c r="AN23" s="53"/>
      <c r="AO23" s="53"/>
      <c r="AP23" s="53"/>
      <c r="AQ23" s="65">
        <v>8500000</v>
      </c>
      <c r="AR23" s="53" t="s">
        <v>49</v>
      </c>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3"/>
      <c r="CI23" s="49"/>
    </row>
    <row r="24" spans="1:87" ht="12" customHeight="1" x14ac:dyDescent="0.15">
      <c r="A24" s="140" t="s">
        <v>81</v>
      </c>
      <c r="B24" s="142" t="str">
        <f>IF(OR($AJ$25=0,$AJ$24=0),"該当なし",$AJ$24)</f>
        <v>該当なし</v>
      </c>
      <c r="C24" s="142"/>
      <c r="D24" s="8" t="s">
        <v>106</v>
      </c>
      <c r="E24" s="6"/>
      <c r="F24" s="6"/>
      <c r="G24" s="6"/>
      <c r="H24" s="6"/>
      <c r="I24" s="6"/>
      <c r="J24" s="6"/>
      <c r="K24" s="6"/>
      <c r="L24" s="6"/>
      <c r="M24" s="6"/>
      <c r="N24" s="6"/>
      <c r="O24" s="6"/>
      <c r="P24" s="6"/>
      <c r="Q24" s="6"/>
      <c r="R24" s="6"/>
      <c r="S24" s="6"/>
      <c r="T24" s="6"/>
      <c r="U24" s="6"/>
      <c r="V24" s="6"/>
      <c r="W24" s="6"/>
      <c r="X24" s="6"/>
      <c r="Y24" s="6"/>
      <c r="Z24" s="6"/>
      <c r="AA24" s="6"/>
      <c r="AD24" s="2"/>
      <c r="AE24" s="2"/>
      <c r="AF24" s="53"/>
      <c r="AG24" s="53"/>
      <c r="AH24" s="53"/>
      <c r="AI24" s="53"/>
      <c r="AJ24" s="53">
        <f>SUM(AJ21:AJ23)</f>
        <v>7</v>
      </c>
      <c r="AK24" s="53"/>
      <c r="AL24" s="53"/>
      <c r="AM24" s="53"/>
      <c r="AN24" s="53"/>
      <c r="AO24" s="52"/>
      <c r="AP24" s="52"/>
      <c r="AQ24" s="53">
        <v>10000000</v>
      </c>
      <c r="AR24" s="53" t="s">
        <v>76</v>
      </c>
      <c r="AS24" s="57">
        <f>IF(OR(AS3&lt;=8500000,$H$10=$AF$38,$H$10=$AF$43),0,IF(AS3&gt;=10000000,10000000,AS3))</f>
        <v>0</v>
      </c>
      <c r="AT24" s="57">
        <f>IF(OR(AS3&lt;=8500000,$H$10=$AF$38,$H$10=$AF$43),0,IF(AS3&gt;=10000000,10000000,AS3))</f>
        <v>0</v>
      </c>
      <c r="AU24" s="66"/>
      <c r="AV24" s="57">
        <f>IF(L10=$AG$34,IF(OR(AS3&lt;=8500000,$H$10=$AF$38,$H$10=$AF$43),0,IF(AS3&gt;=10000000,10000000,AS3)),0)</f>
        <v>0</v>
      </c>
      <c r="AW24" s="57">
        <f>IF(L10=$AG$34,IF(OR(AS3&lt;=8500000,$H$10=$AF$38,$H$10=$AF$43),0,IF(AS3&gt;=10000000,10000000,AS3)),0)</f>
        <v>0</v>
      </c>
      <c r="AX24" s="66"/>
      <c r="AY24" s="66"/>
      <c r="AZ24" s="57">
        <f>IF(OR(AZ3&lt;=8500000,$H$13=$AF$38,$H$13=$AF$43),0,IF(AZ3&gt;=10000000,10000000,AZ3))</f>
        <v>0</v>
      </c>
      <c r="BA24" s="57">
        <f>IF(OR(AZ3&lt;=8500000,$H$10=$AF$38,$H$10=$AF$43),0,IF(AZ3&gt;=10000000,10000000,AZ3))</f>
        <v>0</v>
      </c>
      <c r="BB24" s="66"/>
      <c r="BC24" s="57">
        <f>IF(L13=$AG$34,IF(OR(AZ3&lt;=8500000,$H$13=$AF$38,$H$13=$AF$43),0,IF(AZ3&gt;=10000000,10000000,AZ3)),0)</f>
        <v>0</v>
      </c>
      <c r="BD24" s="57">
        <f>IF(L13=$AG$34,IF(OR(AZ3&lt;=8500000,$H$13=$AF$38,$H$13=$AF$43),0,IF(AZ3&gt;=10000000,10000000,AZ3)),0)</f>
        <v>0</v>
      </c>
      <c r="BE24" s="66"/>
      <c r="BF24" s="66"/>
      <c r="BG24" s="57">
        <f>IF(OR(BG3&lt;=8500000,$H$15=$AF$38,$H$15=$AF$43),0,IF(BG3&gt;=10000000,10000000,BG3))</f>
        <v>0</v>
      </c>
      <c r="BH24" s="57">
        <f>IF(OR(BG3&lt;=8500000,$H$10=$AF$38,$H$10=$AF$43),0,IF(BG3&gt;=10000000,10000000,BG3))</f>
        <v>0</v>
      </c>
      <c r="BI24" s="66"/>
      <c r="BJ24" s="57">
        <f>IF(L15=$AG$34,IF(OR(BG3&lt;=8500000,$H$15=$AF$38,$H$15=$AF$43),0,IF(BG3&gt;=10000000,10000000,BG3)),0)</f>
        <v>0</v>
      </c>
      <c r="BK24" s="57">
        <f>IF(L15=$AG$34,IF(OR(BG3&lt;=8500000,$H$15=$AF$38,$H$15=$AF$43),0,IF(BG3&gt;=10000000,10000000,BG3)),0)</f>
        <v>0</v>
      </c>
      <c r="BL24" s="66"/>
      <c r="BM24" s="66"/>
      <c r="BN24" s="57">
        <f>IF(OR(BN3&lt;=8500000,$H$17=$AF$38,$H$17=$AF$43),0,IF(BN3&gt;=10000000,10000000,BN3))</f>
        <v>0</v>
      </c>
      <c r="BO24" s="57">
        <f>IF(OR(BN3&lt;=8500000,$H$10=$AF$38,$H$10=$AF$43),0,IF(BN3&gt;=10000000,10000000,BN3))</f>
        <v>0</v>
      </c>
      <c r="BP24" s="66"/>
      <c r="BQ24" s="57">
        <f>IF(L17=$AG$34,IF(OR(BN3&lt;=8500000,$H$17=$AF$38,$H$17=$AF$43),0,IF(BN3&gt;=10000000,10000000,BN3)),0)</f>
        <v>0</v>
      </c>
      <c r="BR24" s="57">
        <f>IF(L17=$AG$34,IF(OR(BN3&lt;=8500000,$H$17=$AF$38,$H$17=$AF$43),0,IF(BN3&gt;=10000000,10000000,BN3)),0)</f>
        <v>0</v>
      </c>
      <c r="BS24" s="66"/>
      <c r="BT24" s="66"/>
      <c r="BU24" s="57">
        <f>IF(OR(BU3&lt;=8500000,$H$19=$AF$38,$H$19=$AF$43),0,IF(BU3&gt;=10000000,10000000,BU3))</f>
        <v>0</v>
      </c>
      <c r="BV24" s="57">
        <f>IF(OR(BU3&lt;=8500000,$H$10=$AF$38,$H$10=$AF$43),0,IF(BU3&gt;=10000000,10000000,BU3))</f>
        <v>0</v>
      </c>
      <c r="BW24" s="66"/>
      <c r="BX24" s="57">
        <f>IF(L19=$AG$34,IF(OR(BU3&lt;=8500000,$H$19=$AF$38,$H$19=$AF$43),0,IF(BU3&gt;=10000000,10000000,BU3)),0)</f>
        <v>0</v>
      </c>
      <c r="BY24" s="57">
        <f>IF(L19=$AG$34,IF(OR(BU3&lt;=8500000,$H$10=$AF$38,$H$10=$AF$43),0,IF(BU3&gt;=10000000,10000000,BU3)),0)</f>
        <v>0</v>
      </c>
      <c r="BZ24" s="66"/>
      <c r="CA24" s="66"/>
      <c r="CB24" s="57">
        <f>IF(OR(CB3&lt;=8500000,$H$21=$AF$38,$H$21=$AF$43),0,IF(CB3&gt;=10000000,10000000,CB3))</f>
        <v>0</v>
      </c>
      <c r="CC24" s="57">
        <f>IF(OR(CB3&lt;=8500000,$H$10=$AF$38,$H$10=$AF$43),0,IF(CB3&gt;=10000000,10000000,CB3))</f>
        <v>0</v>
      </c>
      <c r="CD24" s="66"/>
      <c r="CE24" s="57">
        <f>IF(L21=$AG$34,IF(OR(CB3&lt;=8500000,$H$21=$AF$38,$H$21=$AF$43),0,IF(CB3&gt;=10000000,10000000,CB3)),0)</f>
        <v>0</v>
      </c>
      <c r="CF24" s="57">
        <f>IF(L21=$AG$34,IF(OR(CB3&lt;=8500000,$H$21=$AF$38,$H$21=$AF$43),0,IF(CB3&gt;=10000000,10000000,CB3)),0)</f>
        <v>0</v>
      </c>
      <c r="CG24" s="66"/>
      <c r="CH24" s="63"/>
      <c r="CI24" s="49"/>
    </row>
    <row r="25" spans="1:87" ht="12" customHeight="1" x14ac:dyDescent="0.15">
      <c r="A25" s="141"/>
      <c r="B25" s="143"/>
      <c r="C25" s="143"/>
      <c r="D25" s="8" t="s">
        <v>103</v>
      </c>
      <c r="E25" s="6"/>
      <c r="F25" s="6"/>
      <c r="G25" s="6"/>
      <c r="H25" s="6"/>
      <c r="I25" s="6"/>
      <c r="J25" s="6"/>
      <c r="K25" s="6"/>
      <c r="L25" s="6"/>
      <c r="M25" s="6"/>
      <c r="N25" s="6"/>
      <c r="O25" s="6"/>
      <c r="P25" s="6"/>
      <c r="Q25" s="6"/>
      <c r="R25" s="6"/>
      <c r="S25" s="6"/>
      <c r="T25" s="6"/>
      <c r="U25" s="6"/>
      <c r="V25" s="6"/>
      <c r="W25" s="6"/>
      <c r="X25" s="6"/>
      <c r="Y25" s="6"/>
      <c r="Z25" s="6"/>
      <c r="AA25" s="6"/>
      <c r="AD25" s="2"/>
      <c r="AE25" s="2"/>
      <c r="AF25" s="53"/>
      <c r="AG25" s="53"/>
      <c r="AH25" s="53"/>
      <c r="AI25" s="53"/>
      <c r="AJ25" s="53">
        <f>IF(B10="",0,1)</f>
        <v>0</v>
      </c>
      <c r="AK25" s="53"/>
      <c r="AL25" s="53"/>
      <c r="AM25" s="53"/>
      <c r="AN25" s="53"/>
      <c r="AO25" s="52"/>
      <c r="AP25" s="52"/>
      <c r="AQ25" s="53">
        <v>0.1</v>
      </c>
      <c r="AR25" s="52"/>
      <c r="AS25" s="57">
        <f>IF(AS24=0,0,AS10-ROUNDUP((AS24-$AQ$23)*$AQ$25,0))</f>
        <v>0</v>
      </c>
      <c r="AT25" s="57">
        <f>IF(AT24=0,0,AS10-ROUNDUP((AT24-$AQ$23)*$AQ$25,0))</f>
        <v>0</v>
      </c>
      <c r="AU25" s="66"/>
      <c r="AV25" s="57">
        <f>IF(AV24=0,0,AV10-ROUNDUP((AV24-$AQ$23)*$AQ$25,0))</f>
        <v>0</v>
      </c>
      <c r="AW25" s="57">
        <f>IF(AW24=0,0,AV10-ROUNDUP((AW24-$AQ$23)*$AQ$25,0))</f>
        <v>0</v>
      </c>
      <c r="AX25" s="66"/>
      <c r="AY25" s="66"/>
      <c r="AZ25" s="57">
        <f>IF(AZ24=0,0,AZ10-ROUNDUP((AZ24-$AQ$23)*$AQ$25,0))</f>
        <v>0</v>
      </c>
      <c r="BA25" s="57">
        <f>IF(BA24=0,0,AZ10-ROUNDUP((BA24-$AQ$23)*$AQ$25,0))</f>
        <v>0</v>
      </c>
      <c r="BB25" s="66"/>
      <c r="BC25" s="57">
        <f>IF(BC24=0,0,BC10-ROUNDUP((BC24-$AQ$23)*$AQ$25,0))</f>
        <v>0</v>
      </c>
      <c r="BD25" s="57">
        <f>IF(BD24=0,0,BC10-ROUNDUP((BD24-$AQ$23)*$AQ$25,0))</f>
        <v>0</v>
      </c>
      <c r="BE25" s="66"/>
      <c r="BF25" s="66"/>
      <c r="BG25" s="57">
        <f>IF(BG24=0,0,BG10-ROUNDUP((BG24-$AQ$23)*$AQ$25,0))</f>
        <v>0</v>
      </c>
      <c r="BH25" s="57">
        <f>IF(BH24=0,0,BG10-ROUNDUP((BH24-$AQ$23)*$AQ$25,0))</f>
        <v>0</v>
      </c>
      <c r="BI25" s="66"/>
      <c r="BJ25" s="57">
        <f>IF(BJ24=0,0,BJ10-ROUNDUP((BJ24-$AQ$23)*$AQ$25,0))</f>
        <v>0</v>
      </c>
      <c r="BK25" s="57">
        <f>IF(BK24=0,0,BJ10-ROUNDUP((BK24-$AQ$23)*$AQ$25,0))</f>
        <v>0</v>
      </c>
      <c r="BL25" s="66"/>
      <c r="BM25" s="66"/>
      <c r="BN25" s="57">
        <f>IF(BN24=0,0,BN10-ROUNDUP((BN24-$AQ$23)*$AQ$25,0))</f>
        <v>0</v>
      </c>
      <c r="BO25" s="57">
        <f>IF(BO24=0,0,BN10-ROUNDUP((BO24-$AQ$23)*$AQ$25,0))</f>
        <v>0</v>
      </c>
      <c r="BP25" s="66"/>
      <c r="BQ25" s="57">
        <f>IF(BQ24=0,0,BQ10-ROUNDUP((BQ24-$AQ$23)*$AQ$25,0))</f>
        <v>0</v>
      </c>
      <c r="BR25" s="57">
        <f>IF(BR24=0,0,BQ10-ROUNDUP((BR24-$AQ$23)*$AQ$25,0))</f>
        <v>0</v>
      </c>
      <c r="BS25" s="66"/>
      <c r="BT25" s="66"/>
      <c r="BU25" s="57">
        <f>IF(BU24=0,0,BU10-ROUNDUP((BU24-$AQ$23)*$AQ$25,0))</f>
        <v>0</v>
      </c>
      <c r="BV25" s="57">
        <f>IF(BV24=0,0,BU10-ROUNDUP((BV24-$AQ$23)*$AQ$25,0))</f>
        <v>0</v>
      </c>
      <c r="BW25" s="66"/>
      <c r="BX25" s="57">
        <f>IF(BX24=0,0,BX10-ROUNDUP((BX24-$AQ$23)*$AQ$25,0))</f>
        <v>0</v>
      </c>
      <c r="BY25" s="57">
        <f>IF(BY24=0,0,BX10-ROUNDUP((BY24-$AQ$23)*$AQ$25,0))</f>
        <v>0</v>
      </c>
      <c r="BZ25" s="66"/>
      <c r="CA25" s="66"/>
      <c r="CB25" s="57">
        <f>IF(CB24=0,0,CB10-ROUNDUP((CB24-$AQ$23)*$AQ$25,0))</f>
        <v>0</v>
      </c>
      <c r="CC25" s="57">
        <f>IF(CC24=0,0,CB10-ROUNDUP((CC24-$AQ$23)*$AQ$25,0))</f>
        <v>0</v>
      </c>
      <c r="CD25" s="66"/>
      <c r="CE25" s="57">
        <f>IF(CE24=0,0,CE10-ROUNDUP((CE24-$AQ$23)*$AQ$25,0))</f>
        <v>0</v>
      </c>
      <c r="CF25" s="57">
        <f>IF(CF24=0,0,CE10-ROUNDUP((CF24-$AQ$23)*$AQ$25,0))</f>
        <v>0</v>
      </c>
      <c r="CG25" s="66"/>
      <c r="CH25" s="63"/>
      <c r="CI25" s="49"/>
    </row>
    <row r="26" spans="1:87" ht="12"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F26" s="52"/>
      <c r="AG26" s="52"/>
      <c r="AH26" s="52"/>
      <c r="AI26" s="52"/>
      <c r="AJ26" s="52"/>
      <c r="AK26" s="52"/>
      <c r="AL26" s="52"/>
      <c r="AM26" s="52"/>
      <c r="AN26" s="52"/>
      <c r="AO26" s="52"/>
      <c r="AP26" s="52"/>
      <c r="AQ26" s="53">
        <v>100000</v>
      </c>
      <c r="AR26" s="53" t="s">
        <v>77</v>
      </c>
      <c r="AS26" s="57">
        <f>IF(AND(AS10&lt;&gt;0,AS7&lt;&gt;0),IF(AS10&gt;=$AQ$26,$AQ$26,AS10),0)</f>
        <v>0</v>
      </c>
      <c r="AT26" s="57">
        <f>IF(AND(AS10&lt;&gt;0,AT7&lt;&gt;0),IF(AS10&gt;=$AQ$26,$AQ$26,AS10),0)</f>
        <v>0</v>
      </c>
      <c r="AU26" s="66"/>
      <c r="AV26" s="57">
        <f>IF(AND(AV10&lt;&gt;0,AS7&lt;&gt;0),IF(AV10&gt;=$AQ$26,$AQ$26,AV10),0)</f>
        <v>0</v>
      </c>
      <c r="AW26" s="57">
        <f>IF(AND(AV10&lt;&gt;0,AW7&lt;&gt;0),IF(AV10&gt;=$AQ$26,$AQ$26,AV10),0)</f>
        <v>0</v>
      </c>
      <c r="AX26" s="66"/>
      <c r="AY26" s="66"/>
      <c r="AZ26" s="57">
        <f>IF(AND(AZ10&lt;&gt;0,AZ7&lt;&gt;0),IF(AZ10&gt;=$AQ$26,$AQ$26,AZ10),0)</f>
        <v>0</v>
      </c>
      <c r="BA26" s="57">
        <f>IF(AND(AZ10&lt;&gt;0,BA7&lt;&gt;0),IF(AZ10&gt;=$AQ$26,$AQ$26,AZ10),0)</f>
        <v>0</v>
      </c>
      <c r="BB26" s="66"/>
      <c r="BC26" s="57">
        <f>IF(AND(BC10&lt;&gt;0,BC7&lt;&gt;0),IF(BC10&gt;=$AQ$26,$AQ$26,BC10),0)</f>
        <v>0</v>
      </c>
      <c r="BD26" s="57">
        <f>IF(AND(BC10&lt;&gt;0,BD7&lt;&gt;0),IF(BC10&gt;=$AQ$26,$AQ$26,BC10),0)</f>
        <v>0</v>
      </c>
      <c r="BE26" s="66"/>
      <c r="BF26" s="66"/>
      <c r="BG26" s="57">
        <f>IF(AND(BG10&lt;&gt;0,BG7&lt;&gt;0),IF(BG10&gt;=$AQ$26,$AQ$26,BG10),0)</f>
        <v>0</v>
      </c>
      <c r="BH26" s="57">
        <f>IF(AND(BG10&lt;&gt;0,BH7&lt;&gt;0),IF(BG10&gt;=$AQ$26,$AQ$26,BG10),0)</f>
        <v>0</v>
      </c>
      <c r="BI26" s="66"/>
      <c r="BJ26" s="57">
        <f>IF(AND(BJ10&lt;&gt;0,BG7&lt;&gt;0),IF(BJ10&gt;=$AQ$26,$AQ$26,BJ10),0)</f>
        <v>0</v>
      </c>
      <c r="BK26" s="57">
        <f>IF(AND(BJ10&lt;&gt;0,BK7&lt;&gt;0),IF(BJ10&gt;=$AQ$26,$AQ$26,BJ10),0)</f>
        <v>0</v>
      </c>
      <c r="BL26" s="66"/>
      <c r="BM26" s="66"/>
      <c r="BN26" s="57">
        <f>IF(AND(BN10&lt;&gt;0,BN7&lt;&gt;0),IF(BN10&gt;=$AQ$26,$AQ$26,BN10),0)</f>
        <v>0</v>
      </c>
      <c r="BO26" s="57">
        <f>IF(AND(BN10&lt;&gt;0,BO7&lt;&gt;0),IF(BN10&gt;=$AQ$26,$AQ$26,BN10),0)</f>
        <v>0</v>
      </c>
      <c r="BP26" s="66"/>
      <c r="BQ26" s="57">
        <f>IF(AND(BQ10&lt;&gt;0,BN7&lt;&gt;0),IF(BQ10&gt;=$AQ$26,$AQ$26,BQ10),0)</f>
        <v>0</v>
      </c>
      <c r="BR26" s="57">
        <f>IF(AND(BQ10&lt;&gt;0,BR7&lt;&gt;0),IF(BQ10&gt;=$AQ$26,$AQ$26,BQ10),0)</f>
        <v>0</v>
      </c>
      <c r="BS26" s="66"/>
      <c r="BT26" s="66"/>
      <c r="BU26" s="57">
        <f>IF(AND(BU10&lt;&gt;0,BU7&lt;&gt;0),IF(BU10&gt;=$AQ$26,$AQ$26,BU10),0)</f>
        <v>0</v>
      </c>
      <c r="BV26" s="57">
        <f>IF(AND(BU10&lt;&gt;0,BV7&lt;&gt;0),IF(BU10&gt;=$AQ$26,$AQ$26,BU10),0)</f>
        <v>0</v>
      </c>
      <c r="BW26" s="66"/>
      <c r="BX26" s="57">
        <f>IF(AND(BX10&lt;&gt;0,BU7&lt;&gt;0),IF(BX10&gt;=$AQ$26,$AQ$26,BX10),0)</f>
        <v>0</v>
      </c>
      <c r="BY26" s="57">
        <f>IF(AND(BX10&lt;&gt;0,BY7&lt;&gt;0),IF(BX10&gt;=$AQ$26,$AQ$26,BX10),0)</f>
        <v>0</v>
      </c>
      <c r="BZ26" s="66"/>
      <c r="CA26" s="66"/>
      <c r="CB26" s="57">
        <f>IF(AND(CB10&lt;&gt;0,CB7&lt;&gt;0),IF(CB10&gt;=$AQ$26,$AQ$26,CB10),0)</f>
        <v>0</v>
      </c>
      <c r="CC26" s="57">
        <f>IF(AND(CB10&lt;&gt;0,CC7&lt;&gt;0),IF(CB10&gt;=$AQ$26,$AQ$26,CB10),0)</f>
        <v>0</v>
      </c>
      <c r="CD26" s="66"/>
      <c r="CE26" s="57">
        <f>IF(AND(CE10&lt;&gt;0,CB7&lt;&gt;0),IF(CE10&gt;=$AQ$26,$AQ$26,CE10),0)</f>
        <v>0</v>
      </c>
      <c r="CF26" s="57">
        <f>IF(AND(CE10&lt;&gt;0,CF7&lt;&gt;0),IF(CE10&gt;=$AQ$26,$AQ$26,CE10),0)</f>
        <v>0</v>
      </c>
      <c r="CG26" s="66"/>
      <c r="CH26" s="63"/>
      <c r="CI26" s="49"/>
    </row>
    <row r="27" spans="1:87" ht="12" customHeight="1" x14ac:dyDescent="0.15">
      <c r="A27" s="9"/>
      <c r="B27" s="150" t="s">
        <v>28</v>
      </c>
      <c r="C27" s="151"/>
      <c r="D27" s="151"/>
      <c r="E27" s="151"/>
      <c r="F27" s="134" t="s">
        <v>92</v>
      </c>
      <c r="G27" s="134"/>
      <c r="H27" s="136">
        <f>$AJ$15</f>
        <v>670000</v>
      </c>
      <c r="I27" s="138" t="s">
        <v>91</v>
      </c>
      <c r="J27" s="150" t="s">
        <v>31</v>
      </c>
      <c r="K27" s="151"/>
      <c r="L27" s="151"/>
      <c r="M27" s="151"/>
      <c r="N27" s="134" t="s">
        <v>92</v>
      </c>
      <c r="O27" s="134"/>
      <c r="P27" s="136">
        <f>$AJ$16</f>
        <v>260000</v>
      </c>
      <c r="Q27" s="138" t="s">
        <v>91</v>
      </c>
      <c r="R27" s="150" t="s">
        <v>34</v>
      </c>
      <c r="S27" s="151"/>
      <c r="T27" s="151"/>
      <c r="U27" s="151"/>
      <c r="V27" s="134" t="s">
        <v>92</v>
      </c>
      <c r="W27" s="134"/>
      <c r="X27" s="136">
        <f>$AJ$17</f>
        <v>170000</v>
      </c>
      <c r="Y27" s="138" t="s">
        <v>91</v>
      </c>
      <c r="Z27" s="150" t="s">
        <v>149</v>
      </c>
      <c r="AA27" s="151"/>
      <c r="AB27" s="151"/>
      <c r="AC27" s="134" t="s">
        <v>92</v>
      </c>
      <c r="AD27" s="136">
        <v>30000</v>
      </c>
      <c r="AE27" s="177" t="s">
        <v>91</v>
      </c>
      <c r="AF27" s="53" t="s">
        <v>1</v>
      </c>
      <c r="AG27" s="53" t="s">
        <v>7</v>
      </c>
      <c r="AH27" s="52"/>
      <c r="AI27" s="52"/>
      <c r="AJ27" s="52"/>
      <c r="AK27" s="52"/>
      <c r="AL27" s="52"/>
      <c r="AM27" s="52"/>
      <c r="AN27" s="52"/>
      <c r="AO27" s="52"/>
      <c r="AP27" s="52"/>
      <c r="AQ27" s="52"/>
      <c r="AR27" s="52"/>
      <c r="AS27" s="57">
        <f>IF(AND(AS10&lt;&gt;0,AS7&lt;&gt;0),IF(AS7&gt;=$AQ$26,$AQ$26,AS7),0)</f>
        <v>0</v>
      </c>
      <c r="AT27" s="57">
        <f>IF(AND(AS10&lt;&gt;0,AT7&lt;&gt;0),IF(AT7&gt;=$AQ$26,$AQ$26,AT7),0)</f>
        <v>0</v>
      </c>
      <c r="AU27" s="66"/>
      <c r="AV27" s="57">
        <f>IF(AND(AV10&lt;&gt;0,AS7&lt;&gt;0),IF(AS7&gt;=$AQ$26,$AQ$26,AS7),0)</f>
        <v>0</v>
      </c>
      <c r="AW27" s="57">
        <f>IF(AND(AV10&lt;&gt;0,AW7&lt;&gt;0),IF(AW7&gt;=$AQ$26,$AQ$26,AW7),0)</f>
        <v>0</v>
      </c>
      <c r="AX27" s="66"/>
      <c r="AY27" s="66"/>
      <c r="AZ27" s="57">
        <f>IF(AND(AZ10&lt;&gt;0,AZ7&lt;&gt;0),IF(AZ7&gt;=$AQ$26,$AQ$26,AZ7),0)</f>
        <v>0</v>
      </c>
      <c r="BA27" s="57">
        <f>IF(AND(AZ10&lt;&gt;0,BA7&lt;&gt;0),IF(BA7&gt;=$AQ$26,$AQ$26,BA7),0)</f>
        <v>0</v>
      </c>
      <c r="BB27" s="66"/>
      <c r="BC27" s="57">
        <f>IF(AND(BC10&lt;&gt;0,BC7&lt;&gt;0),IF(AZ7&gt;=$AQ$26,$AQ$26,BC7),0)</f>
        <v>0</v>
      </c>
      <c r="BD27" s="57">
        <f>IF(AND(BC10&lt;&gt;0,BD7&lt;&gt;0),IF(BD7&gt;=$AQ$26,$AQ$26,BD7),0)</f>
        <v>0</v>
      </c>
      <c r="BE27" s="66"/>
      <c r="BF27" s="66"/>
      <c r="BG27" s="57">
        <f>IF(AND(BG10&lt;&gt;0,BG7&lt;&gt;0),IF(BG7&gt;=$AQ$26,$AQ$26,BG7),0)</f>
        <v>0</v>
      </c>
      <c r="BH27" s="57">
        <f>IF(AND(BG10&lt;&gt;0,BH7&lt;&gt;0),IF(BH7&gt;=$AQ$26,$AQ$26,BH7),0)</f>
        <v>0</v>
      </c>
      <c r="BI27" s="66"/>
      <c r="BJ27" s="57">
        <f>IF(AND(BJ10&lt;&gt;0,BG7&lt;&gt;0),IF(BG7&gt;=$AQ$26,$AQ$26,BJ7),0)</f>
        <v>0</v>
      </c>
      <c r="BK27" s="57">
        <f>IF(AND(BJ10&lt;&gt;0,BK7&lt;&gt;0),IF(BK7&gt;=$AQ$26,$AQ$26,BK7),0)</f>
        <v>0</v>
      </c>
      <c r="BL27" s="66"/>
      <c r="BM27" s="66"/>
      <c r="BN27" s="57">
        <f>IF(AND(BN10&lt;&gt;0,BN7&lt;&gt;0),IF(BN7&gt;=$AQ$26,$AQ$26,BN7),0)</f>
        <v>0</v>
      </c>
      <c r="BO27" s="57">
        <f>IF(AND(BN10&lt;&gt;0,BO7&lt;&gt;0),IF(BO7&gt;=$AQ$26,$AQ$26,BO7),0)</f>
        <v>0</v>
      </c>
      <c r="BP27" s="66"/>
      <c r="BQ27" s="57">
        <f>IF(AND(BQ10&lt;&gt;0,BN7&lt;&gt;0),IF(BN7&gt;=$AQ$26,$AQ$26,BQ7),0)</f>
        <v>0</v>
      </c>
      <c r="BR27" s="57">
        <f>IF(AND(BQ10&lt;&gt;0,BR7&lt;&gt;0),IF(BR7&gt;=$AQ$26,$AQ$26,BR7),0)</f>
        <v>0</v>
      </c>
      <c r="BS27" s="66"/>
      <c r="BT27" s="66"/>
      <c r="BU27" s="57">
        <f>IF(AND(BU10&lt;&gt;0,BU7&lt;&gt;0),IF(BU7&gt;=$AQ$26,$AQ$26,BU7),0)</f>
        <v>0</v>
      </c>
      <c r="BV27" s="57">
        <f>IF(AND(BU10&lt;&gt;0,BV7&lt;&gt;0),IF(BV7&gt;=$AQ$26,$AQ$26,BV7),0)</f>
        <v>0</v>
      </c>
      <c r="BW27" s="66"/>
      <c r="BX27" s="57">
        <f>IF(AND(BX10&lt;&gt;0,BU7&lt;&gt;0),IF(BU7&gt;=$AQ$26,$AQ$26,BX7),0)</f>
        <v>0</v>
      </c>
      <c r="BY27" s="57">
        <f>IF(AND(BX10&lt;&gt;0,BY7&lt;&gt;0),IF(BY7&gt;=$AQ$26,$AQ$26,BY7),0)</f>
        <v>0</v>
      </c>
      <c r="BZ27" s="66"/>
      <c r="CA27" s="66"/>
      <c r="CB27" s="57">
        <f>IF(AND(CB10&lt;&gt;0,CB7&lt;&gt;0),IF(CB7&gt;=$AQ$26,$AQ$26,CB7),0)</f>
        <v>0</v>
      </c>
      <c r="CC27" s="57">
        <f>IF(AND(CB10&lt;&gt;0,CC7&lt;&gt;0),IF(CC7&gt;=$AQ$26,$AQ$26,CC7),0)</f>
        <v>0</v>
      </c>
      <c r="CD27" s="66"/>
      <c r="CE27" s="57">
        <f>IF(AND(CE10&lt;&gt;0,CB7&lt;&gt;0),IF(CB7&gt;=$AQ$26,$AQ$26,CE7),0)</f>
        <v>0</v>
      </c>
      <c r="CF27" s="57">
        <f>IF(AND(CE10&lt;&gt;0,CF7&lt;&gt;0),IF(CF7&gt;=$AQ$26,$AQ$26,CF7),0)</f>
        <v>0</v>
      </c>
      <c r="CG27" s="66"/>
      <c r="CH27" s="63"/>
      <c r="CI27" s="49"/>
    </row>
    <row r="28" spans="1:87" ht="12" customHeight="1" x14ac:dyDescent="0.15">
      <c r="A28" s="10"/>
      <c r="B28" s="152"/>
      <c r="C28" s="153"/>
      <c r="D28" s="153"/>
      <c r="E28" s="153"/>
      <c r="F28" s="135"/>
      <c r="G28" s="135"/>
      <c r="H28" s="137"/>
      <c r="I28" s="139"/>
      <c r="J28" s="152"/>
      <c r="K28" s="153"/>
      <c r="L28" s="153"/>
      <c r="M28" s="153"/>
      <c r="N28" s="135"/>
      <c r="O28" s="135"/>
      <c r="P28" s="137"/>
      <c r="Q28" s="139"/>
      <c r="R28" s="152"/>
      <c r="S28" s="153"/>
      <c r="T28" s="153"/>
      <c r="U28" s="153"/>
      <c r="V28" s="135"/>
      <c r="W28" s="135"/>
      <c r="X28" s="137"/>
      <c r="Y28" s="139"/>
      <c r="Z28" s="152"/>
      <c r="AA28" s="153"/>
      <c r="AB28" s="153"/>
      <c r="AC28" s="135"/>
      <c r="AD28" s="137"/>
      <c r="AE28" s="178"/>
      <c r="AF28" s="53"/>
      <c r="AG28" s="53"/>
      <c r="AH28" s="52"/>
      <c r="AI28" s="52"/>
      <c r="AJ28" s="52"/>
      <c r="AK28" s="52"/>
      <c r="AL28" s="52"/>
      <c r="AM28" s="52"/>
      <c r="AN28" s="52"/>
      <c r="AO28" s="52"/>
      <c r="AP28" s="52"/>
      <c r="AQ28" s="52"/>
      <c r="AR28" s="52"/>
      <c r="AS28" s="56">
        <f>IF(AND(AS10&lt;&gt;0,AS7&lt;&gt;0,(AS10+AS7)&gt;$AQ$26),SUM(AS26:AS27,-$AQ$26),0)</f>
        <v>0</v>
      </c>
      <c r="AT28" s="56">
        <f>IF(AND(AS10&lt;&gt;0,AT7&lt;&gt;0,(AS10+AT7)&gt;$AQ$26),SUM(AT26:AT27,-$AQ$26),0)</f>
        <v>0</v>
      </c>
      <c r="AU28" s="66"/>
      <c r="AV28" s="56">
        <f>IF(AND(AV10&lt;&gt;0,AS7&lt;&gt;0,(AV10+AS7)&gt;$AQ$26),SUM(AV26:AV27,-$AQ$26),0)</f>
        <v>0</v>
      </c>
      <c r="AW28" s="56">
        <f>IF(AND(AV10&lt;&gt;0,AW7&lt;&gt;0,(AV10+AW7)&gt;$AQ$26),SUM(AW26:AW27,-$AQ$26),0)</f>
        <v>0</v>
      </c>
      <c r="AX28" s="66"/>
      <c r="AY28" s="66"/>
      <c r="AZ28" s="56">
        <f>IF(AND(AZ10&lt;&gt;0,AZ7&lt;&gt;0,(AZ10+AZ7)&gt;$AQ$26),SUM(AZ26:AZ27,-$AQ$26),0)</f>
        <v>0</v>
      </c>
      <c r="BA28" s="56">
        <f>IF(AND(AZ10&lt;&gt;0,BA7&lt;&gt;0,(AZ10+BA7)&gt;$AQ$26),SUM(BA26:BA27,-$AQ$26),0)</f>
        <v>0</v>
      </c>
      <c r="BB28" s="66"/>
      <c r="BC28" s="56">
        <f>IF(AND(BC10&lt;&gt;0,BC7&lt;&gt;0,(BC10+AZ7)&gt;$AQ$26),SUM(BC26:BC27,-$AQ$26),0)</f>
        <v>0</v>
      </c>
      <c r="BD28" s="56">
        <f>IF(AND(BC10&lt;&gt;0,BD7&lt;&gt;0,(BC10+BD7)&gt;$AQ$26),SUM(BD26:BD27,-$AQ$26),0)</f>
        <v>0</v>
      </c>
      <c r="BE28" s="66"/>
      <c r="BF28" s="66"/>
      <c r="BG28" s="56">
        <f>IF(AND(BG10&lt;&gt;0,BG7&lt;&gt;0,(BG10+BG7)&gt;$AQ$26),SUM(BG26:BG27,-$AQ$26),0)</f>
        <v>0</v>
      </c>
      <c r="BH28" s="56">
        <f>IF(AND(BG10&lt;&gt;0,BH7&lt;&gt;0,(BG10+BH7)&gt;$AQ$26),SUM(BH26:BH27,-$AQ$26),0)</f>
        <v>0</v>
      </c>
      <c r="BI28" s="66"/>
      <c r="BJ28" s="56">
        <f>IF(AND(BJ10&lt;&gt;0,BG7&lt;&gt;0,(BJ10+BG7)&gt;$AQ$26),SUM(BJ26:BJ27,-$AQ$26),0)</f>
        <v>0</v>
      </c>
      <c r="BK28" s="56">
        <f>IF(AND(BJ10&lt;&gt;0,BK7&lt;&gt;0,(BJ10+BK7)&gt;$AQ$26),SUM(BK26:BK27,-$AQ$26),0)</f>
        <v>0</v>
      </c>
      <c r="BL28" s="66"/>
      <c r="BM28" s="66"/>
      <c r="BN28" s="56">
        <f>IF(AND(BN10&lt;&gt;0,BN7&lt;&gt;0,(BN10+BN7)&gt;$AQ$26),SUM(BN26:BN27,-$AQ$26),0)</f>
        <v>0</v>
      </c>
      <c r="BO28" s="56">
        <f>IF(AND(BN10&lt;&gt;0,BO7&lt;&gt;0,(BN10+BO7)&gt;$AQ$26),SUM(BO26:BO27,-$AQ$26),0)</f>
        <v>0</v>
      </c>
      <c r="BP28" s="66"/>
      <c r="BQ28" s="56">
        <f>IF(AND(BQ10&lt;&gt;0,BN7&lt;&gt;0,(BQ10+BN7)&gt;$AQ$26),SUM(BQ26:BQ27,-$AQ$26),0)</f>
        <v>0</v>
      </c>
      <c r="BR28" s="56">
        <f>IF(AND(BQ10&lt;&gt;0,BR7&lt;&gt;0,(BQ10+BR7)&gt;$AQ$26),SUM(BR26:BR27,-$AQ$26),0)</f>
        <v>0</v>
      </c>
      <c r="BS28" s="66"/>
      <c r="BT28" s="66"/>
      <c r="BU28" s="56">
        <f>IF(AND(BU10&lt;&gt;0,BU7&lt;&gt;0,(BU10+BU7)&gt;$AQ$26),SUM(BU26:BU27,-$AQ$26),0)</f>
        <v>0</v>
      </c>
      <c r="BV28" s="56">
        <f>IF(AND(BU10&lt;&gt;0,BV7&lt;&gt;0,(BU10+BV7)&gt;$AQ$26),SUM(BV26:BV27,-$AQ$26),0)</f>
        <v>0</v>
      </c>
      <c r="BW28" s="66"/>
      <c r="BX28" s="56">
        <f>IF(AND(BX10&lt;&gt;0,BU7&lt;&gt;0,(BX10+BU7)&gt;$AQ$26),SUM(BX26:BX27,-$AQ$26),0)</f>
        <v>0</v>
      </c>
      <c r="BY28" s="56">
        <f>IF(AND(BX10&lt;&gt;0,BY7&lt;&gt;0,(BX10+BY7)&gt;$AQ$26),SUM(BY26:BY27,-$AQ$26),0)</f>
        <v>0</v>
      </c>
      <c r="BZ28" s="66"/>
      <c r="CA28" s="66"/>
      <c r="CB28" s="56">
        <f>IF(AND(CB10&lt;&gt;0,CB7&lt;&gt;0,(CB10+CB7)&gt;$AQ$26),SUM(CB26:CB27,-$AQ$26),0)</f>
        <v>0</v>
      </c>
      <c r="CC28" s="56">
        <f>IF(AND(CB10&lt;&gt;0,CC7&lt;&gt;0,(CB10+CC7)&gt;$AQ$26),SUM(CC26:CC27,-$AQ$26),0)</f>
        <v>0</v>
      </c>
      <c r="CD28" s="66"/>
      <c r="CE28" s="56">
        <f>IF(AND(CE10&lt;&gt;0,CB7&lt;&gt;0,(CE10+CB7)&gt;$AQ$26),SUM(CE26:CE27,-$AQ$26),0)</f>
        <v>0</v>
      </c>
      <c r="CF28" s="56">
        <f>IF(AND(CE10&lt;&gt;0,CF7&lt;&gt;0,(CE10+CF7)&gt;$AQ$26),SUM(CF26:CF27,-$AQ$26),0)</f>
        <v>0</v>
      </c>
      <c r="CG28" s="66"/>
      <c r="CH28" s="63"/>
      <c r="CI28" s="49"/>
    </row>
    <row r="29" spans="1:87" ht="12" customHeight="1" x14ac:dyDescent="0.15">
      <c r="A29" s="10"/>
      <c r="B29" s="102" t="s">
        <v>29</v>
      </c>
      <c r="C29" s="103"/>
      <c r="D29" s="102" t="s">
        <v>30</v>
      </c>
      <c r="E29" s="103"/>
      <c r="F29" s="102" t="s">
        <v>32</v>
      </c>
      <c r="G29" s="103"/>
      <c r="H29" s="102" t="s">
        <v>33</v>
      </c>
      <c r="I29" s="103"/>
      <c r="J29" s="102" t="s">
        <v>29</v>
      </c>
      <c r="K29" s="103"/>
      <c r="L29" s="102" t="s">
        <v>30</v>
      </c>
      <c r="M29" s="103"/>
      <c r="N29" s="102" t="s">
        <v>32</v>
      </c>
      <c r="O29" s="103"/>
      <c r="P29" s="102" t="s">
        <v>33</v>
      </c>
      <c r="Q29" s="103"/>
      <c r="R29" s="102" t="s">
        <v>29</v>
      </c>
      <c r="S29" s="103"/>
      <c r="T29" s="102" t="s">
        <v>30</v>
      </c>
      <c r="U29" s="103"/>
      <c r="V29" s="102" t="s">
        <v>32</v>
      </c>
      <c r="W29" s="103"/>
      <c r="X29" s="102" t="s">
        <v>33</v>
      </c>
      <c r="Y29" s="103"/>
      <c r="Z29" s="102" t="s">
        <v>29</v>
      </c>
      <c r="AA29" s="103"/>
      <c r="AB29" s="102" t="s">
        <v>32</v>
      </c>
      <c r="AC29" s="103"/>
      <c r="AD29" s="102" t="s">
        <v>33</v>
      </c>
      <c r="AE29" s="179"/>
      <c r="AF29" s="53" t="s">
        <v>19</v>
      </c>
      <c r="AG29" s="53" t="s">
        <v>8</v>
      </c>
      <c r="AH29" s="52"/>
      <c r="AI29" s="52"/>
      <c r="AJ29" s="52"/>
      <c r="AK29" s="52"/>
      <c r="AL29" s="52"/>
      <c r="AM29" s="52"/>
      <c r="AN29" s="52"/>
      <c r="AO29" s="52"/>
      <c r="AP29" s="52"/>
      <c r="AQ29" s="52"/>
      <c r="AR29" s="52"/>
      <c r="AS29" s="57">
        <f>IF(AS27=0,0,IF(AND(AS25&lt;&gt;0,AS28&lt;&gt;0),AS25-AS28,AS10-AS28))</f>
        <v>0</v>
      </c>
      <c r="AT29" s="57">
        <f>IF(AT27=0,0,IF(AND(AT25&lt;&gt;0,AT28&lt;&gt;0),AT25-AT28,AS10-AT28))</f>
        <v>0</v>
      </c>
      <c r="AU29" s="66"/>
      <c r="AV29" s="57">
        <f>IF(AV27=0,0,IF(AND(AV25&lt;&gt;0,AV28&lt;&gt;0),AV25-AV28,AV10-AV28))</f>
        <v>0</v>
      </c>
      <c r="AW29" s="57">
        <f>IF(AW27=0,0,IF(AND(AW25&lt;&gt;0,AW28&lt;&gt;0),AW25-AW28,AV10-AW28))</f>
        <v>0</v>
      </c>
      <c r="AX29" s="66"/>
      <c r="AY29" s="66"/>
      <c r="AZ29" s="57">
        <f>IF(AZ27=0,0,IF(AND(AZ25&lt;&gt;0,AZ28&lt;&gt;0),AZ25-AZ28,AZ10-AZ28))</f>
        <v>0</v>
      </c>
      <c r="BA29" s="57">
        <f>IF(BA27=0,0,IF(AND(BA25&lt;&gt;0,BA28&lt;&gt;0),BA25-BA28,AZ10-BA28))</f>
        <v>0</v>
      </c>
      <c r="BB29" s="66"/>
      <c r="BC29" s="57">
        <f>IF(BC27=0,0,IF(AND(BC25&lt;&gt;0,BC28&lt;&gt;0),BC25-BC28,BC10-BC28))</f>
        <v>0</v>
      </c>
      <c r="BD29" s="57">
        <f>IF(BD27=0,0,IF(AND(BD25&lt;&gt;0,BD28&lt;&gt;0),BD25-BD28,BC10-BD28))</f>
        <v>0</v>
      </c>
      <c r="BE29" s="66"/>
      <c r="BF29" s="66"/>
      <c r="BG29" s="57">
        <f>IF(BG27=0,0,IF(AND(BG25&lt;&gt;0,BG28&lt;&gt;0),BG25-BG28,BG10-BG28))</f>
        <v>0</v>
      </c>
      <c r="BH29" s="57">
        <f>IF(BH27=0,0,IF(AND(BH25&lt;&gt;0,BH28&lt;&gt;0),BH25-BH28,BG10-BH28))</f>
        <v>0</v>
      </c>
      <c r="BI29" s="66"/>
      <c r="BJ29" s="57">
        <f>IF(BJ27=0,0,IF(AND(BJ25&lt;&gt;0,BJ28&lt;&gt;0),BJ25-BJ28,BJ10-BJ28))</f>
        <v>0</v>
      </c>
      <c r="BK29" s="57">
        <f>IF(BK27=0,0,IF(AND(BK25&lt;&gt;0,BK28&lt;&gt;0),BK25-BK28,BJ10-BK28))</f>
        <v>0</v>
      </c>
      <c r="BL29" s="66"/>
      <c r="BM29" s="66"/>
      <c r="BN29" s="57">
        <f>IF(BN27=0,0,IF(AND(BN25&lt;&gt;0,BN28&lt;&gt;0),BN25-BN28,BN10-BN28))</f>
        <v>0</v>
      </c>
      <c r="BO29" s="57">
        <f>IF(BO27=0,0,IF(AND(BO25&lt;&gt;0,BO28&lt;&gt;0),BO25-BO28,BN10-BO28))</f>
        <v>0</v>
      </c>
      <c r="BP29" s="66"/>
      <c r="BQ29" s="57">
        <f>IF(BQ27=0,0,IF(AND(BQ25&lt;&gt;0,BQ28&lt;&gt;0),BQ25-BQ28,BQ10-BQ28))</f>
        <v>0</v>
      </c>
      <c r="BR29" s="57">
        <f>IF(BR27=0,0,IF(AND(BR25&lt;&gt;0,BR28&lt;&gt;0),BR25-BR28,BQ10-BR28))</f>
        <v>0</v>
      </c>
      <c r="BS29" s="66"/>
      <c r="BT29" s="66"/>
      <c r="BU29" s="57">
        <f>IF(BU27=0,0,IF(AND(BU25&lt;&gt;0,BU28&lt;&gt;0),BU25-BU28,BU10-BU28))</f>
        <v>0</v>
      </c>
      <c r="BV29" s="57">
        <f>IF(BV27=0,0,IF(AND(BV25&lt;&gt;0,BV28&lt;&gt;0),BV25-BV28,BU10-BV28))</f>
        <v>0</v>
      </c>
      <c r="BW29" s="66"/>
      <c r="BX29" s="57">
        <f>IF(BX27=0,0,IF(AND(BX25&lt;&gt;0,BX28&lt;&gt;0),BX25-BX28,BX10-BX28))</f>
        <v>0</v>
      </c>
      <c r="BY29" s="57">
        <f>IF(BY27=0,0,IF(AND(BY25&lt;&gt;0,BY28&lt;&gt;0),BY25-BY28,BX10-BY28))</f>
        <v>0</v>
      </c>
      <c r="BZ29" s="66"/>
      <c r="CA29" s="66"/>
      <c r="CB29" s="57">
        <f>IF(CB27=0,0,IF(AND(CB25&lt;&gt;0,CB28&lt;&gt;0),CB25-CB28,CB10-CB28))</f>
        <v>0</v>
      </c>
      <c r="CC29" s="57">
        <f>IF(CC27=0,0,IF(AND(CC25&lt;&gt;0,CC28&lt;&gt;0),CC25-CC28,CB10-CC28))</f>
        <v>0</v>
      </c>
      <c r="CD29" s="66"/>
      <c r="CE29" s="57">
        <f>IF(CE27=0,0,IF(AND(CE25&lt;&gt;0,CE28&lt;&gt;0),CE25-CE28,CE10-CE28))</f>
        <v>0</v>
      </c>
      <c r="CF29" s="57">
        <f>IF(CF27=0,0,IF(AND(CF25&lt;&gt;0,CF28&lt;&gt;0),CF25-CF28,CE10-CF28))</f>
        <v>0</v>
      </c>
      <c r="CG29" s="66"/>
      <c r="CH29" s="63"/>
      <c r="CI29" s="49"/>
    </row>
    <row r="30" spans="1:87" ht="12" customHeight="1" x14ac:dyDescent="0.15">
      <c r="A30" s="10"/>
      <c r="B30" s="104"/>
      <c r="C30" s="105"/>
      <c r="D30" s="104"/>
      <c r="E30" s="105"/>
      <c r="F30" s="104"/>
      <c r="G30" s="105"/>
      <c r="H30" s="104"/>
      <c r="I30" s="105"/>
      <c r="J30" s="104"/>
      <c r="K30" s="105"/>
      <c r="L30" s="104"/>
      <c r="M30" s="105"/>
      <c r="N30" s="104"/>
      <c r="O30" s="105"/>
      <c r="P30" s="104"/>
      <c r="Q30" s="105"/>
      <c r="R30" s="104"/>
      <c r="S30" s="105"/>
      <c r="T30" s="104"/>
      <c r="U30" s="105"/>
      <c r="V30" s="104"/>
      <c r="W30" s="105"/>
      <c r="X30" s="104"/>
      <c r="Y30" s="105"/>
      <c r="Z30" s="104"/>
      <c r="AA30" s="105"/>
      <c r="AB30" s="104"/>
      <c r="AC30" s="105"/>
      <c r="AD30" s="104"/>
      <c r="AE30" s="180"/>
      <c r="AF30" s="53" t="s">
        <v>20</v>
      </c>
      <c r="AG30" s="53" t="s">
        <v>9</v>
      </c>
      <c r="AH30" s="52"/>
      <c r="AI30" s="52"/>
      <c r="AJ30" s="52"/>
      <c r="AK30" s="52"/>
      <c r="AL30" s="52"/>
      <c r="AM30" s="52"/>
      <c r="AN30" s="52"/>
      <c r="AO30" s="52"/>
      <c r="AP30" s="52"/>
      <c r="AQ30" s="52"/>
      <c r="AR30" s="52"/>
      <c r="AS30" s="57"/>
      <c r="AT30" s="57"/>
      <c r="AU30" s="66"/>
      <c r="AV30" s="57"/>
      <c r="AW30" s="57"/>
      <c r="AX30" s="66"/>
      <c r="AY30" s="66"/>
      <c r="AZ30" s="57"/>
      <c r="BA30" s="57"/>
      <c r="BB30" s="66"/>
      <c r="BC30" s="57"/>
      <c r="BD30" s="57"/>
      <c r="BE30" s="66"/>
      <c r="BF30" s="66"/>
      <c r="BG30" s="57"/>
      <c r="BH30" s="57"/>
      <c r="BI30" s="66"/>
      <c r="BJ30" s="57"/>
      <c r="BK30" s="57"/>
      <c r="BL30" s="66"/>
      <c r="BM30" s="66"/>
      <c r="BN30" s="57"/>
      <c r="BO30" s="57"/>
      <c r="BP30" s="66"/>
      <c r="BQ30" s="57"/>
      <c r="BR30" s="57"/>
      <c r="BS30" s="66"/>
      <c r="BT30" s="66"/>
      <c r="BU30" s="57"/>
      <c r="BV30" s="57"/>
      <c r="BW30" s="66"/>
      <c r="BX30" s="57"/>
      <c r="BY30" s="57"/>
      <c r="BZ30" s="66"/>
      <c r="CA30" s="66"/>
      <c r="CB30" s="57"/>
      <c r="CC30" s="57"/>
      <c r="CD30" s="66"/>
      <c r="CE30" s="57"/>
      <c r="CF30" s="57"/>
      <c r="CG30" s="66"/>
      <c r="CH30" s="63"/>
      <c r="CI30" s="49"/>
    </row>
    <row r="31" spans="1:87" ht="12" customHeight="1" x14ac:dyDescent="0.15">
      <c r="A31" s="11"/>
      <c r="B31" s="46">
        <v>8.5</v>
      </c>
      <c r="C31" s="12" t="s">
        <v>35</v>
      </c>
      <c r="D31" s="46">
        <v>16.350000000000001</v>
      </c>
      <c r="E31" s="12" t="s">
        <v>35</v>
      </c>
      <c r="F31" s="47">
        <v>24100</v>
      </c>
      <c r="G31" s="12" t="s">
        <v>18</v>
      </c>
      <c r="H31" s="47">
        <v>18600</v>
      </c>
      <c r="I31" s="12" t="s">
        <v>18</v>
      </c>
      <c r="J31" s="46">
        <v>3.5</v>
      </c>
      <c r="K31" s="12" t="s">
        <v>35</v>
      </c>
      <c r="L31" s="46">
        <v>5.5</v>
      </c>
      <c r="M31" s="12" t="s">
        <v>35</v>
      </c>
      <c r="N31" s="47">
        <v>9400</v>
      </c>
      <c r="O31" s="12" t="s">
        <v>18</v>
      </c>
      <c r="P31" s="47">
        <v>7350</v>
      </c>
      <c r="Q31" s="12" t="s">
        <v>18</v>
      </c>
      <c r="R31" s="46">
        <v>2.4</v>
      </c>
      <c r="S31" s="12" t="s">
        <v>35</v>
      </c>
      <c r="T31" s="46">
        <v>5</v>
      </c>
      <c r="U31" s="12" t="s">
        <v>35</v>
      </c>
      <c r="V31" s="47">
        <v>8750</v>
      </c>
      <c r="W31" s="12" t="s">
        <v>18</v>
      </c>
      <c r="X31" s="47">
        <v>4770</v>
      </c>
      <c r="Y31" s="12" t="s">
        <v>18</v>
      </c>
      <c r="Z31" s="46">
        <v>0.4</v>
      </c>
      <c r="AA31" s="12" t="s">
        <v>35</v>
      </c>
      <c r="AB31" s="47">
        <v>1400</v>
      </c>
      <c r="AC31" s="12" t="s">
        <v>18</v>
      </c>
      <c r="AD31" s="47">
        <v>700</v>
      </c>
      <c r="AE31" s="51" t="s">
        <v>18</v>
      </c>
      <c r="AF31" s="53" t="s">
        <v>21</v>
      </c>
      <c r="AG31" s="52"/>
      <c r="AH31" s="52"/>
      <c r="AI31" s="52"/>
      <c r="AJ31" s="52"/>
      <c r="AK31" s="52"/>
      <c r="AL31" s="52"/>
      <c r="AM31" s="52"/>
      <c r="AN31" s="52"/>
      <c r="AO31" s="52"/>
      <c r="AP31" s="52"/>
      <c r="AQ31" s="52"/>
      <c r="AR31" s="52"/>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3"/>
      <c r="CI31" s="49"/>
    </row>
    <row r="32" spans="1:87" ht="11.25" customHeight="1" x14ac:dyDescent="0.15">
      <c r="A32" s="71" t="s">
        <v>11</v>
      </c>
      <c r="B32" s="109">
        <f>IF($B$10=$AG$39,ROUNDDOWN($X$10*$B$31/100,0),0)</f>
        <v>0</v>
      </c>
      <c r="C32" s="106" t="s">
        <v>18</v>
      </c>
      <c r="D32" s="109">
        <f>IF($Z$10&lt;=0,0,IF($B$10=$AG$39,ROUNDDOWN($Z$10*$D$31/100,0),0))</f>
        <v>0</v>
      </c>
      <c r="E32" s="106" t="s">
        <v>18</v>
      </c>
      <c r="F32" s="109">
        <f>IF(AND($B$10=$AG$39,$AJ$24=0,$AJ$4&lt;6),$F$31/2,IF(AND($B$10=$AG$39,$AJ$4&lt;6),$F$31/2*(1-$B$24/10),IF(AND($B$10=$AG$39,$AJ$24=0),$F$31,IF(AND($B$10=$AG$39),$F$31*(1-$B$24/10),0))))</f>
        <v>0</v>
      </c>
      <c r="G32" s="106" t="s">
        <v>18</v>
      </c>
      <c r="H32" s="109">
        <f>IF(AND(SUM(F32:F43)&lt;&gt;0,$AJ$24=0),$H$31,IF(SUM(F32:F43)&lt;&gt;0,$H$31*(1-$B$24/10),0))</f>
        <v>0</v>
      </c>
      <c r="I32" s="106" t="s">
        <v>18</v>
      </c>
      <c r="J32" s="109">
        <f>IF($B$10=$AG$39,ROUNDDOWN($X$10*$J$31/100,0),0)</f>
        <v>0</v>
      </c>
      <c r="K32" s="106" t="s">
        <v>18</v>
      </c>
      <c r="L32" s="109">
        <f>IF($Z$10&lt;=0,0,IF($B$10=$AG$39,ROUNDDOWN($Z$10*$L$31/100,0),0))</f>
        <v>0</v>
      </c>
      <c r="M32" s="106" t="s">
        <v>18</v>
      </c>
      <c r="N32" s="109">
        <f>IF(AND($B$10=$AG$39,$AJ$24=0,$AL$4=$AL$3),$N$31/2,IF(AND($B$10=$AG$39,$AL$4=$AL$3),$N$31/2*(1-$B$24/10),IF(AND($B$10=$AG$39,$AJ$24=0),$N$31,IF(AND($B$10=$AG$39),$N$31*(1-$B$24/10),0))))</f>
        <v>0</v>
      </c>
      <c r="O32" s="106" t="s">
        <v>18</v>
      </c>
      <c r="P32" s="109">
        <f>IF(AND(SUM(N32:N43)&lt;&gt;0,$AJ$24=0),$P$31,IF(SUM(N32:N43)&lt;&gt;0,$P$31*(1-$B$24/10),0))</f>
        <v>0</v>
      </c>
      <c r="Q32" s="106" t="s">
        <v>18</v>
      </c>
      <c r="R32" s="109">
        <f>IF(AND($B$10=$AG$39,$AJ4&lt;65,$AJ4&gt;=40),ROUNDDOWN($X$10*$R$31/100,0),0)</f>
        <v>0</v>
      </c>
      <c r="S32" s="106" t="s">
        <v>18</v>
      </c>
      <c r="T32" s="109">
        <f>IF($Z$10&lt;=0,0,IF(AND($B$10=$AG$39,$AJ4&lt;65,$AJ4&gt;=40),ROUNDDOWN($Z$10*$T$31/100,0),0))</f>
        <v>0</v>
      </c>
      <c r="U32" s="106" t="s">
        <v>18</v>
      </c>
      <c r="V32" s="109">
        <f>IF(AND($B$10=$AG$39,$AJ$24=0,$AJ4&lt;65,$AJ4&gt;=40),$V$31,IF(AND($B$10=$AG$39,$AJ4&lt;65,$AJ4&gt;=40),$V$31*(1-$B$24/10),0))</f>
        <v>0</v>
      </c>
      <c r="W32" s="106" t="s">
        <v>18</v>
      </c>
      <c r="X32" s="109">
        <f>IF(AND(SUM(V32:V43)&lt;&gt;0,$AJ$24=0),$X$31,IF(SUM(V32:V43)&lt;&gt;0,$X$31*(1-$B$24/10),0))</f>
        <v>0</v>
      </c>
      <c r="Y32" s="106" t="s">
        <v>18</v>
      </c>
      <c r="Z32" s="109">
        <f>IF($B$10=$AG$39,ROUNDDOWN($X$10*$Z$31/100,0),0)</f>
        <v>0</v>
      </c>
      <c r="AA32" s="106" t="s">
        <v>18</v>
      </c>
      <c r="AB32" s="109">
        <f>IF(AND($B$10=$AG$39,$AJ$24=0,$AJ$4&lt;6),$AB$31/2,IF(AND($B$10=$AG$39,$AJ$4&lt;6),$AB$31/2*(1-$B$24/10),IF(AND($B$10=$AG$39,$AJ$24=0),$AB$31,IF(AND($B$10=$AG$39),$AB$31*(1-$B$24/10),0))))</f>
        <v>0</v>
      </c>
      <c r="AC32" s="106" t="s">
        <v>18</v>
      </c>
      <c r="AD32" s="109">
        <f>IF(AND(SUM(AB32:AB43)&lt;&gt;0,$AJ$24=0),$AD$31,IF(SUM(AB32:AB43)&lt;&gt;0,$AD$31*(1-$B$24/10),0))</f>
        <v>0</v>
      </c>
      <c r="AE32" s="166" t="s">
        <v>18</v>
      </c>
      <c r="AF32" s="53" t="s">
        <v>22</v>
      </c>
      <c r="AG32" s="53" t="s">
        <v>7</v>
      </c>
      <c r="AH32" s="52"/>
      <c r="AI32" s="52"/>
      <c r="AJ32" s="52"/>
      <c r="AK32" s="52"/>
      <c r="AL32" s="52"/>
      <c r="AM32" s="52"/>
      <c r="AN32" s="52"/>
      <c r="AO32" s="52"/>
      <c r="AP32" s="53">
        <v>0.25</v>
      </c>
      <c r="AQ32" s="53" t="s">
        <v>45</v>
      </c>
      <c r="AR32" s="53" t="s">
        <v>44</v>
      </c>
      <c r="AS32" s="57">
        <f>IF($AK$4=0,AS$4,0)</f>
        <v>0</v>
      </c>
      <c r="AT32" s="66"/>
      <c r="AU32" s="66"/>
      <c r="AV32" s="57">
        <f>IF(AV10=0,0,IF($AK$4=0,AS4,0))</f>
        <v>0</v>
      </c>
      <c r="AW32" s="66"/>
      <c r="AX32" s="66"/>
      <c r="AY32" s="66"/>
      <c r="AZ32" s="57">
        <f>IF($AK$5=0,AZ$4,0)</f>
        <v>0</v>
      </c>
      <c r="BA32" s="66"/>
      <c r="BB32" s="66"/>
      <c r="BC32" s="57">
        <f>IF(BC10=0,0,IF($AK$5=0,$AZ$4,0))</f>
        <v>0</v>
      </c>
      <c r="BD32" s="66"/>
      <c r="BE32" s="66"/>
      <c r="BF32" s="66"/>
      <c r="BG32" s="57">
        <f>IF($AK$6=0,BG$4,0)</f>
        <v>0</v>
      </c>
      <c r="BH32" s="66"/>
      <c r="BI32" s="66"/>
      <c r="BJ32" s="57">
        <f>IF(BJ10=0,0,IF($AK$6=0,$BG$4,0))</f>
        <v>0</v>
      </c>
      <c r="BK32" s="66"/>
      <c r="BL32" s="66"/>
      <c r="BM32" s="66"/>
      <c r="BN32" s="57">
        <f>IF($AK$7=0,BN$4,0)</f>
        <v>0</v>
      </c>
      <c r="BO32" s="66"/>
      <c r="BP32" s="66"/>
      <c r="BQ32" s="57">
        <f>IF(BQ10=0,0,IF($AK$7=0,$BN$4,0))</f>
        <v>0</v>
      </c>
      <c r="BR32" s="66"/>
      <c r="BS32" s="66"/>
      <c r="BT32" s="66"/>
      <c r="BU32" s="57">
        <f>IF($AK$8=0,BU$4,0)</f>
        <v>0</v>
      </c>
      <c r="BV32" s="66"/>
      <c r="BW32" s="66"/>
      <c r="BX32" s="57">
        <f>IF(BX10=0,0,IF($AK$8=0,$BU$4,0))</f>
        <v>0</v>
      </c>
      <c r="BY32" s="66"/>
      <c r="BZ32" s="66"/>
      <c r="CA32" s="66"/>
      <c r="CB32" s="57">
        <f>IF($AK$9=0,CB$4,0)</f>
        <v>0</v>
      </c>
      <c r="CC32" s="66"/>
      <c r="CD32" s="66"/>
      <c r="CE32" s="57">
        <f>IF(CE10=0,0,IF($AK$9=0,$CB$4,0))</f>
        <v>0</v>
      </c>
      <c r="CF32" s="66"/>
      <c r="CG32" s="66"/>
      <c r="CH32" s="63"/>
      <c r="CI32" s="49"/>
    </row>
    <row r="33" spans="1:90" ht="11.25" customHeight="1" x14ac:dyDescent="0.15">
      <c r="A33" s="108"/>
      <c r="B33" s="110"/>
      <c r="C33" s="107"/>
      <c r="D33" s="110"/>
      <c r="E33" s="107"/>
      <c r="F33" s="110"/>
      <c r="G33" s="107"/>
      <c r="H33" s="111"/>
      <c r="I33" s="112"/>
      <c r="J33" s="110"/>
      <c r="K33" s="107"/>
      <c r="L33" s="110"/>
      <c r="M33" s="107"/>
      <c r="N33" s="110"/>
      <c r="O33" s="107"/>
      <c r="P33" s="111"/>
      <c r="Q33" s="112"/>
      <c r="R33" s="110"/>
      <c r="S33" s="107"/>
      <c r="T33" s="110"/>
      <c r="U33" s="107"/>
      <c r="V33" s="110"/>
      <c r="W33" s="107"/>
      <c r="X33" s="111"/>
      <c r="Y33" s="112"/>
      <c r="Z33" s="110"/>
      <c r="AA33" s="107"/>
      <c r="AB33" s="110"/>
      <c r="AC33" s="107"/>
      <c r="AD33" s="111"/>
      <c r="AE33" s="167"/>
      <c r="AF33" s="53" t="s">
        <v>23</v>
      </c>
      <c r="AG33" s="52"/>
      <c r="AH33" s="52"/>
      <c r="AI33" s="52"/>
      <c r="AJ33" s="52"/>
      <c r="AK33" s="52"/>
      <c r="AL33" s="52"/>
      <c r="AM33" s="52"/>
      <c r="AN33" s="52"/>
      <c r="AO33" s="52"/>
      <c r="AP33" s="53">
        <v>0.15</v>
      </c>
      <c r="AQ33" s="52"/>
      <c r="AR33" s="53" t="s">
        <v>46</v>
      </c>
      <c r="AS33" s="56">
        <f>IF(OR(AS32=0,AS5+AS10&lt;=0),0,IF(AS25=0,AS5+AS10,AS5+AS25))</f>
        <v>0</v>
      </c>
      <c r="AT33" s="66"/>
      <c r="AU33" s="66"/>
      <c r="AV33" s="56">
        <f>IF(OR(AV32=0,AV5+AV10&lt;=0),0,IF(AV25=0,AV5+AV10,AV5+AV25))</f>
        <v>0</v>
      </c>
      <c r="AW33" s="66"/>
      <c r="AX33" s="66"/>
      <c r="AY33" s="66"/>
      <c r="AZ33" s="56">
        <f>IF(OR(AZ32=0,AZ5+AZ10&lt;=0),0,IF(AZ25=0,AZ5+AZ10,AZ5+AZ25))</f>
        <v>0</v>
      </c>
      <c r="BA33" s="66"/>
      <c r="BB33" s="66"/>
      <c r="BC33" s="56">
        <f>IF(OR(BC32=0,BC5+BC10&lt;=0),0,IF(BC25=0,BC5+BC10,BC5+BC25))</f>
        <v>0</v>
      </c>
      <c r="BD33" s="66"/>
      <c r="BE33" s="66"/>
      <c r="BF33" s="66"/>
      <c r="BG33" s="56">
        <f>IF(OR(BG32=0,BG5+BG10&lt;=0),0,IF(BG25=0,BG5+BG10,BG5+BG25))</f>
        <v>0</v>
      </c>
      <c r="BH33" s="66"/>
      <c r="BI33" s="66"/>
      <c r="BJ33" s="56">
        <f>IF(OR(BJ32=0,BJ5+BJ10&lt;=0),0,IF(BJ25=0,BJ5+BJ10,BJ5+BJ25))</f>
        <v>0</v>
      </c>
      <c r="BK33" s="66"/>
      <c r="BL33" s="66"/>
      <c r="BM33" s="66"/>
      <c r="BN33" s="56">
        <f>IF(OR(BN32=0,BN5+BN10&lt;=0),0,IF(BN25=0,BN5+BN10,BN5+BN25))</f>
        <v>0</v>
      </c>
      <c r="BO33" s="66"/>
      <c r="BP33" s="66"/>
      <c r="BQ33" s="56">
        <f>IF(OR(BQ32=0,BQ5+BQ10&lt;=0),0,IF(BQ25=0,BQ5+BQ10,BQ5+BQ25))</f>
        <v>0</v>
      </c>
      <c r="BR33" s="66"/>
      <c r="BS33" s="66"/>
      <c r="BT33" s="66"/>
      <c r="BU33" s="56">
        <f>IF(OR(BU32=0,BU5+BU10&lt;=0),0,IF(BU25=0,BU5+BU10,BU5+BU25))</f>
        <v>0</v>
      </c>
      <c r="BV33" s="66"/>
      <c r="BW33" s="66"/>
      <c r="BX33" s="56">
        <f>IF(OR(BX32=0,BX5+BX10&lt;=0),0,IF(BX25=0,BX5+BX10,BX5+BX25))</f>
        <v>0</v>
      </c>
      <c r="BY33" s="66"/>
      <c r="BZ33" s="66"/>
      <c r="CA33" s="66"/>
      <c r="CB33" s="56">
        <f>IF(OR(CB32=0,CB5+CB10&lt;=0),0,IF(CB25=0,CB5+CB10,CB5+CB25))</f>
        <v>0</v>
      </c>
      <c r="CC33" s="66"/>
      <c r="CD33" s="66"/>
      <c r="CE33" s="56">
        <f>IF(OR(CE32=0,CE5+CE10&lt;=0),0,IF(CE25=0,CE5+CE10,CE5+CE25))</f>
        <v>0</v>
      </c>
      <c r="CF33" s="66"/>
      <c r="CG33" s="66"/>
      <c r="CH33" s="63"/>
      <c r="CI33" s="49"/>
    </row>
    <row r="34" spans="1:90" ht="11.25" customHeight="1" x14ac:dyDescent="0.15">
      <c r="A34" s="71" t="s">
        <v>12</v>
      </c>
      <c r="B34" s="109">
        <f>IF($B$13=$AG$39,ROUNDDOWN($X$13*$B$31/100,0),0)</f>
        <v>0</v>
      </c>
      <c r="C34" s="106" t="s">
        <v>18</v>
      </c>
      <c r="D34" s="109">
        <f>IF($Z$13&lt;=0,0,IF($B$13=$AG$39,ROUNDDOWN($Z$13*$D$31/100,0),0))</f>
        <v>0</v>
      </c>
      <c r="E34" s="106" t="s">
        <v>18</v>
      </c>
      <c r="F34" s="109">
        <f>IF(AND($B$13=$AG$39,$AJ$24=0,$AJ$5&lt;6),$F$31/2,IF(AND($B$13=$AG$39,$AJ$5&lt;6),$F$31/2*(1-$B$24/10),IF(AND($B$13=$AG$39,$AJ$24=0),$F$31,IF(AND($B$13=$AG$39),$F$31*(1-$B$24/10),0))))</f>
        <v>0</v>
      </c>
      <c r="G34" s="106" t="s">
        <v>18</v>
      </c>
      <c r="H34" s="111"/>
      <c r="I34" s="112"/>
      <c r="J34" s="109">
        <f>IF($B$13=$AG$39,ROUNDDOWN($X$13*$J$31/100,0),0)</f>
        <v>0</v>
      </c>
      <c r="K34" s="106" t="s">
        <v>18</v>
      </c>
      <c r="L34" s="109">
        <f>IF($Z$13&lt;=0,0,IF($B$13=$AG$39,ROUNDDOWN($Z$13*$L$31/100,0),0))</f>
        <v>0</v>
      </c>
      <c r="M34" s="106" t="s">
        <v>18</v>
      </c>
      <c r="N34" s="109">
        <f>IF(AND($B$13=$AG$39,$AJ$24=0,$AJ$5&lt;6),$N$31/2,IF(AND($B$13=$AG$39,$AJ$5&lt;6),$N$31/2*(1-$B$24/10),IF(AND($B$13=$AG$39,$AJ$24=0),$N$31,IF(AND($B$13=$AG$39),$N$31*(1-$B$24/10),0))))</f>
        <v>0</v>
      </c>
      <c r="O34" s="106" t="s">
        <v>18</v>
      </c>
      <c r="P34" s="111"/>
      <c r="Q34" s="112"/>
      <c r="R34" s="109">
        <f>IF(AND($B$13=$AG$39,$AJ5&lt;65,$AJ5&gt;=40),ROUNDDOWN($X$13*$R$31/100,0),0)</f>
        <v>0</v>
      </c>
      <c r="S34" s="106" t="s">
        <v>18</v>
      </c>
      <c r="T34" s="109">
        <f>IF($Z$13&lt;=0,0,IF(AND($B$13=$AG$39,$AJ5&lt;65,$AJ5&gt;=40),ROUNDDOWN($Z$13*$T$31/100,0),0))</f>
        <v>0</v>
      </c>
      <c r="U34" s="106" t="s">
        <v>18</v>
      </c>
      <c r="V34" s="109">
        <f>IF(AND($B$13=$AG$39,$AJ$24=0,$AJ5&lt;65,$AJ5&gt;=40),$V$31,IF(AND($B$13=$AG$39,$AJ5&lt;65,$AJ5&gt;=40),$V$31*(1-$B$24/10),0))</f>
        <v>0</v>
      </c>
      <c r="W34" s="106" t="s">
        <v>18</v>
      </c>
      <c r="X34" s="111"/>
      <c r="Y34" s="112"/>
      <c r="Z34" s="109">
        <f>IF($B$13=$AG$39,ROUNDDOWN($X$13*$Z$31/100,0),0)</f>
        <v>0</v>
      </c>
      <c r="AA34" s="106" t="s">
        <v>18</v>
      </c>
      <c r="AB34" s="109">
        <f>IF(AND($B$13=$AG$39,$AJ$24=0,$AJ$5&lt;6),$AB$31/2,IF(AND($B$13=$AG$39,$AJ$5&lt;6),$AB$31/2*(1-$B$24/10),IF(AND($B$13=$AG$39,$AJ$24=0),$AB$31,IF(AND($B$13=$AG$39),$AB$31*(1-$B$24/10),0))))</f>
        <v>0</v>
      </c>
      <c r="AC34" s="106" t="s">
        <v>18</v>
      </c>
      <c r="AD34" s="111"/>
      <c r="AE34" s="167"/>
      <c r="AF34" s="53" t="s">
        <v>24</v>
      </c>
      <c r="AG34" s="53" t="s">
        <v>9</v>
      </c>
      <c r="AH34" s="52"/>
      <c r="AI34" s="52"/>
      <c r="AJ34" s="52"/>
      <c r="AK34" s="52"/>
      <c r="AL34" s="52"/>
      <c r="AM34" s="52"/>
      <c r="AN34" s="52"/>
      <c r="AO34" s="52"/>
      <c r="AP34" s="53">
        <v>0.05</v>
      </c>
      <c r="AQ34" s="52"/>
      <c r="AR34" s="53"/>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3"/>
      <c r="CI34" s="49"/>
    </row>
    <row r="35" spans="1:90" ht="11.25" customHeight="1" x14ac:dyDescent="0.15">
      <c r="A35" s="108"/>
      <c r="B35" s="110"/>
      <c r="C35" s="107"/>
      <c r="D35" s="110"/>
      <c r="E35" s="107"/>
      <c r="F35" s="110"/>
      <c r="G35" s="107"/>
      <c r="H35" s="111"/>
      <c r="I35" s="112"/>
      <c r="J35" s="110"/>
      <c r="K35" s="107"/>
      <c r="L35" s="110"/>
      <c r="M35" s="107"/>
      <c r="N35" s="110"/>
      <c r="O35" s="107"/>
      <c r="P35" s="111"/>
      <c r="Q35" s="112"/>
      <c r="R35" s="110"/>
      <c r="S35" s="107"/>
      <c r="T35" s="110"/>
      <c r="U35" s="107"/>
      <c r="V35" s="110"/>
      <c r="W35" s="107"/>
      <c r="X35" s="111"/>
      <c r="Y35" s="112"/>
      <c r="Z35" s="110"/>
      <c r="AA35" s="107"/>
      <c r="AB35" s="110"/>
      <c r="AC35" s="107"/>
      <c r="AD35" s="111"/>
      <c r="AE35" s="167"/>
      <c r="AF35" s="52"/>
      <c r="AG35" s="52"/>
      <c r="AH35" s="52"/>
      <c r="AI35" s="52"/>
      <c r="AJ35" s="52"/>
      <c r="AK35" s="52"/>
      <c r="AL35" s="52"/>
      <c r="AM35" s="52"/>
      <c r="AN35" s="52"/>
      <c r="AO35" s="52"/>
      <c r="AP35" s="53">
        <v>600000</v>
      </c>
      <c r="AQ35" s="53"/>
      <c r="AR35" s="53"/>
      <c r="AS35" s="59">
        <v>0</v>
      </c>
      <c r="AT35" s="57">
        <f>AS36+1</f>
        <v>10000001</v>
      </c>
      <c r="AU35" s="57">
        <f>AT36+1</f>
        <v>20000001</v>
      </c>
      <c r="AV35" s="59">
        <v>0</v>
      </c>
      <c r="AW35" s="57">
        <f>AV36+1</f>
        <v>10000001</v>
      </c>
      <c r="AX35" s="57">
        <f>AW36+1</f>
        <v>20000001</v>
      </c>
      <c r="AY35" s="57"/>
      <c r="AZ35" s="59">
        <v>0</v>
      </c>
      <c r="BA35" s="57">
        <f>AZ36+1</f>
        <v>10000001</v>
      </c>
      <c r="BB35" s="57">
        <f>BA36+1</f>
        <v>20000001</v>
      </c>
      <c r="BC35" s="59">
        <v>0</v>
      </c>
      <c r="BD35" s="57">
        <f>BC36+1</f>
        <v>10000001</v>
      </c>
      <c r="BE35" s="57">
        <f>BD36+1</f>
        <v>20000001</v>
      </c>
      <c r="BF35" s="66"/>
      <c r="BG35" s="59">
        <v>0</v>
      </c>
      <c r="BH35" s="57">
        <f>BG36+1</f>
        <v>10000001</v>
      </c>
      <c r="BI35" s="57">
        <f>BH36+1</f>
        <v>20000001</v>
      </c>
      <c r="BJ35" s="59">
        <v>0</v>
      </c>
      <c r="BK35" s="57">
        <f>BJ36+1</f>
        <v>10000001</v>
      </c>
      <c r="BL35" s="57">
        <f>BK36+1</f>
        <v>20000001</v>
      </c>
      <c r="BM35" s="66"/>
      <c r="BN35" s="59">
        <v>0</v>
      </c>
      <c r="BO35" s="57">
        <f>BN36+1</f>
        <v>10000001</v>
      </c>
      <c r="BP35" s="57">
        <f>BO36+1</f>
        <v>20000001</v>
      </c>
      <c r="BQ35" s="59">
        <v>0</v>
      </c>
      <c r="BR35" s="57">
        <f>BQ36+1</f>
        <v>10000001</v>
      </c>
      <c r="BS35" s="57">
        <f>BR36+1</f>
        <v>20000001</v>
      </c>
      <c r="BT35" s="66"/>
      <c r="BU35" s="59">
        <v>0</v>
      </c>
      <c r="BV35" s="57">
        <f>BU36+1</f>
        <v>10000001</v>
      </c>
      <c r="BW35" s="57">
        <f>BV36+1</f>
        <v>20000001</v>
      </c>
      <c r="BX35" s="59">
        <v>0</v>
      </c>
      <c r="BY35" s="57">
        <f>BX36+1</f>
        <v>10000001</v>
      </c>
      <c r="BZ35" s="57">
        <f>BY36+1</f>
        <v>20000001</v>
      </c>
      <c r="CA35" s="66"/>
      <c r="CB35" s="59">
        <v>0</v>
      </c>
      <c r="CC35" s="57">
        <f>CB36+1</f>
        <v>10000001</v>
      </c>
      <c r="CD35" s="57">
        <f>CC36+1</f>
        <v>20000001</v>
      </c>
      <c r="CE35" s="59">
        <v>0</v>
      </c>
      <c r="CF35" s="57">
        <f>CE36+1</f>
        <v>10000001</v>
      </c>
      <c r="CG35" s="57">
        <f>CF36+1</f>
        <v>20000001</v>
      </c>
      <c r="CH35" s="63"/>
      <c r="CI35" s="49"/>
    </row>
    <row r="36" spans="1:90" ht="11.25" customHeight="1" x14ac:dyDescent="0.15">
      <c r="A36" s="71" t="s">
        <v>13</v>
      </c>
      <c r="B36" s="109">
        <f>IF($B$15=$AG$39,ROUNDDOWN($X$15*$B$31/100,0),0)</f>
        <v>0</v>
      </c>
      <c r="C36" s="106" t="s">
        <v>18</v>
      </c>
      <c r="D36" s="109">
        <f>IF($Z$15&lt;=0,0,IF($B$15=$AG$39,ROUNDDOWN($Z$15*$D$31/100,0),0))</f>
        <v>0</v>
      </c>
      <c r="E36" s="106" t="s">
        <v>18</v>
      </c>
      <c r="F36" s="109">
        <f>IF(AND($B$15=$AG$39,$AJ$24=0,$AJ$6&lt;6),$F$31/2,IF(AND($B$15=$AG$39,$AJ$6&lt;6),$F$31/2*(1-$B$24/10),IF(AND($B$15=$AG$39,$AJ$24=0),$F$31,IF(AND($B$15=$AG$39),$F$31*(1-$B$24/10),0))))</f>
        <v>0</v>
      </c>
      <c r="G36" s="106" t="s">
        <v>18</v>
      </c>
      <c r="H36" s="111"/>
      <c r="I36" s="112"/>
      <c r="J36" s="109">
        <f>IF($B$15=$AG$39,ROUNDDOWN($X$15*$J$31/100,0),0)</f>
        <v>0</v>
      </c>
      <c r="K36" s="106" t="s">
        <v>18</v>
      </c>
      <c r="L36" s="109">
        <f>IF($Z$15&lt;=0,0,IF($B$15=$AG$39,ROUNDDOWN($Z$15*$L$31/100,0),0))</f>
        <v>0</v>
      </c>
      <c r="M36" s="106" t="s">
        <v>18</v>
      </c>
      <c r="N36" s="109">
        <f>IF(AND($B$15=$AG$39,$AJ$24=0,$AJ$6&lt;6),$N$31/2,IF(AND($B$15=$AG$39,$AJ$6&lt;6),$N$31/2*(1-$B$24/10),IF(AND($B$15=$AG$39,$AJ$24=0),$N$31,IF(AND($B$15=$AG$39),$N$31*(1-$B$24/10),0))))</f>
        <v>0</v>
      </c>
      <c r="O36" s="106" t="s">
        <v>18</v>
      </c>
      <c r="P36" s="111"/>
      <c r="Q36" s="112"/>
      <c r="R36" s="109">
        <f>IF(AND($B$15=$AG$39,$AJ6&lt;65,$AJ6&gt;=40),ROUNDDOWN($X$15*$R$31/100,0),0)</f>
        <v>0</v>
      </c>
      <c r="S36" s="106" t="s">
        <v>18</v>
      </c>
      <c r="T36" s="109">
        <f>IF($Z$15&lt;=0,0,IF(AND($B$15=$AG$39,$AJ6&lt;65,$AJ6&gt;=40),ROUNDDOWN($Z$15*$T$31/100,0),0))</f>
        <v>0</v>
      </c>
      <c r="U36" s="106" t="s">
        <v>18</v>
      </c>
      <c r="V36" s="109">
        <f>IF(AND($B$15=$AG$39,$AJ$24=0,$AJ6&lt;65,$AJ6&gt;=40),$V$31,IF(AND($B$15=$AG$39,$AJ6&lt;65,$AJ6&gt;=40),$V$31*(1-$B$24/10),0))</f>
        <v>0</v>
      </c>
      <c r="W36" s="106" t="s">
        <v>18</v>
      </c>
      <c r="X36" s="111"/>
      <c r="Y36" s="112"/>
      <c r="Z36" s="109">
        <f>IF($B$15=$AG$39,ROUNDDOWN($X$15*$Z$31/100,0),0)</f>
        <v>0</v>
      </c>
      <c r="AA36" s="106" t="s">
        <v>18</v>
      </c>
      <c r="AB36" s="109">
        <f>IF(AND($B$15=$AG$39,$AJ$24=0,$AJ$6&lt;6),$AB$31/2,IF(AND($B$15=$AG$39,$AJ$6&lt;6),$AB$31/2*(1-$B$24/10),IF(AND($B$15=$AG$39,$AJ$24=0),$AB$31,IF(AND($B$15=$AG$39),$AB$31*(1-$B$24/10),0))))</f>
        <v>0</v>
      </c>
      <c r="AC36" s="106" t="s">
        <v>18</v>
      </c>
      <c r="AD36" s="111"/>
      <c r="AE36" s="167"/>
      <c r="AF36" s="52"/>
      <c r="AG36" s="52"/>
      <c r="AH36" s="52"/>
      <c r="AI36" s="52"/>
      <c r="AJ36" s="52"/>
      <c r="AK36" s="52"/>
      <c r="AL36" s="52"/>
      <c r="AM36" s="52"/>
      <c r="AN36" s="52"/>
      <c r="AO36" s="52"/>
      <c r="AP36" s="52"/>
      <c r="AQ36" s="53"/>
      <c r="AR36" s="53"/>
      <c r="AS36" s="57">
        <v>10000000</v>
      </c>
      <c r="AT36" s="57">
        <v>20000000</v>
      </c>
      <c r="AU36" s="66"/>
      <c r="AV36" s="57">
        <v>10000000</v>
      </c>
      <c r="AW36" s="57">
        <v>20000000</v>
      </c>
      <c r="AX36" s="66"/>
      <c r="AY36" s="66"/>
      <c r="AZ36" s="57">
        <v>10000000</v>
      </c>
      <c r="BA36" s="57">
        <v>20000000</v>
      </c>
      <c r="BB36" s="66"/>
      <c r="BC36" s="57">
        <v>10000000</v>
      </c>
      <c r="BD36" s="57">
        <v>20000000</v>
      </c>
      <c r="BE36" s="66"/>
      <c r="BF36" s="66"/>
      <c r="BG36" s="57">
        <v>10000000</v>
      </c>
      <c r="BH36" s="57">
        <v>20000000</v>
      </c>
      <c r="BI36" s="66"/>
      <c r="BJ36" s="57">
        <v>10000000</v>
      </c>
      <c r="BK36" s="57">
        <v>20000000</v>
      </c>
      <c r="BL36" s="66"/>
      <c r="BM36" s="66"/>
      <c r="BN36" s="57">
        <v>10000000</v>
      </c>
      <c r="BO36" s="57">
        <v>20000000</v>
      </c>
      <c r="BP36" s="66"/>
      <c r="BQ36" s="57">
        <v>10000000</v>
      </c>
      <c r="BR36" s="57">
        <v>20000000</v>
      </c>
      <c r="BS36" s="66"/>
      <c r="BT36" s="66"/>
      <c r="BU36" s="57">
        <v>10000000</v>
      </c>
      <c r="BV36" s="57">
        <v>20000000</v>
      </c>
      <c r="BW36" s="66"/>
      <c r="BX36" s="57">
        <v>10000000</v>
      </c>
      <c r="BY36" s="57">
        <v>20000000</v>
      </c>
      <c r="BZ36" s="66"/>
      <c r="CA36" s="66"/>
      <c r="CB36" s="57">
        <v>10000000</v>
      </c>
      <c r="CC36" s="57">
        <v>20000000</v>
      </c>
      <c r="CD36" s="66"/>
      <c r="CE36" s="57">
        <v>10000000</v>
      </c>
      <c r="CF36" s="57">
        <v>20000000</v>
      </c>
      <c r="CG36" s="66"/>
      <c r="CH36" s="63"/>
      <c r="CI36" s="49"/>
    </row>
    <row r="37" spans="1:90" ht="11.25" customHeight="1" x14ac:dyDescent="0.15">
      <c r="A37" s="108"/>
      <c r="B37" s="110"/>
      <c r="C37" s="107"/>
      <c r="D37" s="110"/>
      <c r="E37" s="107"/>
      <c r="F37" s="110"/>
      <c r="G37" s="107"/>
      <c r="H37" s="111"/>
      <c r="I37" s="112"/>
      <c r="J37" s="110"/>
      <c r="K37" s="107"/>
      <c r="L37" s="110"/>
      <c r="M37" s="107"/>
      <c r="N37" s="110"/>
      <c r="O37" s="107"/>
      <c r="P37" s="111"/>
      <c r="Q37" s="112"/>
      <c r="R37" s="110"/>
      <c r="S37" s="107"/>
      <c r="T37" s="110"/>
      <c r="U37" s="107"/>
      <c r="V37" s="110"/>
      <c r="W37" s="107"/>
      <c r="X37" s="111"/>
      <c r="Y37" s="112"/>
      <c r="Z37" s="110"/>
      <c r="AA37" s="107"/>
      <c r="AB37" s="110"/>
      <c r="AC37" s="107"/>
      <c r="AD37" s="111"/>
      <c r="AE37" s="167"/>
      <c r="AF37" s="53" t="s">
        <v>50</v>
      </c>
      <c r="AG37" s="53" t="s">
        <v>55</v>
      </c>
      <c r="AH37" s="52"/>
      <c r="AI37" s="52"/>
      <c r="AJ37" s="52"/>
      <c r="AK37" s="52"/>
      <c r="AL37" s="52"/>
      <c r="AM37" s="52"/>
      <c r="AN37" s="52"/>
      <c r="AO37" s="52"/>
      <c r="AP37" s="65">
        <v>275000</v>
      </c>
      <c r="AQ37" s="57">
        <v>1</v>
      </c>
      <c r="AR37" s="57">
        <v>1300000</v>
      </c>
      <c r="AS37" s="57">
        <f>IF(AND($AQ37&lt;=$AS$32,$AS$32&lt;=$AR37,AS$35&lt;=$AS$33,$AS$33&lt;=AS$36),IF(AS32&gt;$AP$35,$AP$35,AS32),0)</f>
        <v>0</v>
      </c>
      <c r="AT37" s="57">
        <f>IF(AND($AQ37&lt;=$AS$32,$AS$32&lt;=$AR37,$AS$33&gt;=AT$35,$AS$33&lt;=AT$36),IF(AS32&gt;($AP$35-$AP$41),($AP$35-$AP$41),AS32),0)</f>
        <v>0</v>
      </c>
      <c r="AU37" s="57">
        <f>IF(AND($AQ37&lt;=$AS$32,$AS$32&lt;=$AR37,$AS$33&gt;=AU$35),IF(AS32&gt;($AP$35-$AP$41*2),($AP$35-$AP$41*2),AS32),0)</f>
        <v>0</v>
      </c>
      <c r="AV37" s="57">
        <f>IF(AND($AQ37&lt;=AV32,AV32&lt;=$AR37,AV$35&lt;=AV33,AV33&lt;=AV$36),IF(AV32&gt;$AP$35,$AP$35,AV32),0)</f>
        <v>0</v>
      </c>
      <c r="AW37" s="57">
        <f>IF(AND($AQ37&lt;=AV32,AV32&lt;=$AR37,AV33&gt;=AW$35,AV33&lt;=AW$36),IF(AV32&gt;($AP$35-$AP$41),($AP$35-$AP$41),AV32),0)</f>
        <v>0</v>
      </c>
      <c r="AX37" s="57">
        <f>IF(AND($AQ37&lt;=AV32,AV32&lt;=$AR37,AV33&gt;=AX$35),IF(AV32&gt;($AP$35-$AP$41*2),($AP$35-$AP$41*2),AV32),0)</f>
        <v>0</v>
      </c>
      <c r="AY37" s="57"/>
      <c r="AZ37" s="57">
        <f>IF(AND($AQ37&lt;=$AZ$32,$AZ$32&lt;=$AR37,AZ$35&lt;=$AZ$33,$AZ$33&lt;=AZ$36),IF(AZ32&gt;$AP$35,$AP$35,AZ32),0)</f>
        <v>0</v>
      </c>
      <c r="BA37" s="57">
        <f>IF(AND($AQ37&lt;=$AZ$32,$AZ$32&lt;=$AR37,$AZ$33&gt;=BA$35,$AZ$33&lt;=BA$36),IF(AZ32&gt;($AP$35-$AP$41),($AP$35-$AP$41),AZ32),0)</f>
        <v>0</v>
      </c>
      <c r="BB37" s="57">
        <f>IF(AND($AQ37&lt;=$AZ$32,$AZ$32&lt;=$AR37,$AZ$33&gt;=BB$35),IF(AZ32&gt;($AP$35-$AP$41*2),($AP$35-$AP$41*2),AZ32),0)</f>
        <v>0</v>
      </c>
      <c r="BC37" s="57">
        <f>IF(AND($AQ37&lt;=BC32,BC32&lt;=$AR37,BC$35&lt;=BC33,BC33&lt;=BC$36),IF(BC32&gt;$AP$35,$AP$35,BC32),0)</f>
        <v>0</v>
      </c>
      <c r="BD37" s="57">
        <f>IF(AND($AQ37&lt;=BC32,BC32&lt;=$AR37,BC33&gt;=BD$35,BC33&lt;=BD$36),IF(BC32&gt;($AP$35-$AP$41),($AP$35-$AP$41),BC32),0)</f>
        <v>0</v>
      </c>
      <c r="BE37" s="57">
        <f>IF(AND($AQ37&lt;=BC32,BC32&lt;=$AR37,BC33&gt;=BE$35),IF(BC32&gt;($AP$35-$AP$41*2),($AP$35-$AP$41*2),BC32),0)</f>
        <v>0</v>
      </c>
      <c r="BF37" s="66"/>
      <c r="BG37" s="57">
        <f>IF(AND($AQ37&lt;=$BG$32,$BG$32&lt;=$AR37,BG$35&lt;=$BG$33,$BG$33&lt;=BG$36),IF(BG32&gt;$AP$35,$AP$35,BG32),0)</f>
        <v>0</v>
      </c>
      <c r="BH37" s="57">
        <f>IF(AND($AQ37&lt;=$BG$32,$BG$32&lt;=$AR37,$BG$33&gt;=BH$35,$BG$33&lt;=BH$36),IF(BG32&gt;($AP$35-$AP$41),($AP$35-$AP$41),BG32),0)</f>
        <v>0</v>
      </c>
      <c r="BI37" s="57">
        <f>IF(AND($AQ37&lt;=$BG$32,$BG$32&lt;=$AR37,$BG$33&gt;=BI$35),IF(BG32&gt;($AP$35-$AP$41*2),($AP$35-$AP$41*2),BG32),0)</f>
        <v>0</v>
      </c>
      <c r="BJ37" s="57">
        <f>IF(AND($AQ37&lt;=BJ32,BJ32&lt;=$AR37,BJ$35&lt;=BJ33,BJ33&lt;=BJ$36),IF(BJ32&gt;$AP$35,$AP$35,BJ32),0)</f>
        <v>0</v>
      </c>
      <c r="BK37" s="57">
        <f>IF(AND($AQ37&lt;=BJ32,BJ32&lt;=$AR37,BJ33&gt;=BK$35,BJ33&lt;=BK$36),IF(BJ32&gt;($AP$35-$AP$41),($AP$35-$AP$41),BJ32),0)</f>
        <v>0</v>
      </c>
      <c r="BL37" s="57">
        <f>IF(AND($AQ37&lt;=BJ32,BJ32&lt;=$AR37,BJ33&gt;=BL$35),IF(BJ32&gt;($AP$35-$AP$41*2),($AP$35-$AP$41*2),BJ32),0)</f>
        <v>0</v>
      </c>
      <c r="BM37" s="66"/>
      <c r="BN37" s="57">
        <f>IF(AND($AQ37&lt;=$BN$32,$BN$32&lt;=$AR37,BN$35&lt;=$BN$33,$BN$33&lt;=BN$36),IF(BN32&gt;$AP$35,$AP$35,BN32),0)</f>
        <v>0</v>
      </c>
      <c r="BO37" s="57">
        <f>IF(AND($AQ37&lt;=$BN$32,$BN$32&lt;=$AR37,$BN$33&gt;=BO$35,$BN$33&lt;=BO$36),IF(BN32&gt;($AP$35-$AP$41),($AP$35-$AP$41),BN32),0)</f>
        <v>0</v>
      </c>
      <c r="BP37" s="57">
        <f>IF(AND($AQ37&lt;=$BN$32,$BN$32&lt;=$AR37,$BN$33&gt;=BP$35),IF(BN32&gt;($AP$35-$AP$41*2),($AP$35-$AP$41*2),BN32),0)</f>
        <v>0</v>
      </c>
      <c r="BQ37" s="57">
        <f>IF(AND($AQ37&lt;=BQ32,BQ32&lt;=$AR37,BQ$35&lt;=BQ33,BQ33&lt;=BQ$36),IF(BQ32&gt;$AP$35,$AP$35,BQ32),0)</f>
        <v>0</v>
      </c>
      <c r="BR37" s="57">
        <f>IF(AND($AQ37&lt;=BQ32,BQ32&lt;=$AR37,BQ33&gt;=BR$35,BQ33&lt;=BR$36),IF(BQ32&gt;($AP$35-$AP$41),($AP$35-$AP$41),BQ32),0)</f>
        <v>0</v>
      </c>
      <c r="BS37" s="57">
        <f>IF(AND($AQ37&lt;=BQ32,BQ32&lt;=$AR37,BQ33&gt;=BS$35),IF(BQ32&gt;($AP$35-$AP$41*2),($AP$35-$AP$41*2),BQ32),0)</f>
        <v>0</v>
      </c>
      <c r="BT37" s="66"/>
      <c r="BU37" s="57">
        <f>IF(AND($AQ37&lt;=$BU$32,$BU$32&lt;=$AR37,BU$35&lt;=$BU$33,$BU$33&lt;=BU$36),IF(BU32&gt;$AP$35,$AP$35,BU32),0)</f>
        <v>0</v>
      </c>
      <c r="BV37" s="57">
        <f>IF(AND($AQ37&lt;=$BU$32,$BU$32&lt;=$AR37,$BU$33&gt;=BV$35,$BU$33&lt;=BV$36),IF(BU32&gt;($AP$35-$AP$41),($AP$35-$AP$41),BU32),0)</f>
        <v>0</v>
      </c>
      <c r="BW37" s="57">
        <f>IF(AND($AQ37&lt;=$BU$32,$BU$32&lt;=$AR37,$BU$33&gt;=BW$35),IF(BU32&gt;($AP$35-$AP$41*2),($AP$35-$AP$41*2),BU32),0)</f>
        <v>0</v>
      </c>
      <c r="BX37" s="57">
        <f>IF(AND($AQ37&lt;=BX32,BX32&lt;=$AR37,BX$35&lt;=BX33,BX33&lt;=BX$36),IF(BX32&gt;$AP$35,$AP$35,BX32),0)</f>
        <v>0</v>
      </c>
      <c r="BY37" s="57">
        <f>IF(AND($AQ37&lt;=BX32,BX32&lt;=$AR37,BX33&gt;=BY$35,BX33&lt;=BY$36),IF(BX32&gt;($AP$35-$AP$41),($AP$35-$AP$41),BX32),0)</f>
        <v>0</v>
      </c>
      <c r="BZ37" s="57">
        <f>IF(AND($AQ37&lt;=BX32,BX32&lt;=$AR37,BX33&gt;=BZ$35),IF(BX32&gt;($AP$35-$AP$41*2),($AP$35-$AP$41*2),BX32),0)</f>
        <v>0</v>
      </c>
      <c r="CA37" s="66"/>
      <c r="CB37" s="57">
        <f>IF(AND($AQ37&lt;=$CB$32,$CB$32&lt;=$AR37,CB$35&lt;=$CB$33,$CB$33&lt;=CB$36),IF(CB32&gt;$AP$35,$AP$35,CB32),0)</f>
        <v>0</v>
      </c>
      <c r="CC37" s="57">
        <f>IF(AND($AQ37&lt;=$CB$32,$CB$32&lt;=$AR37,$CB$33&gt;=CC$35,$CB$33&lt;=CC$36),IF(CB32&gt;($AP$35-$AP$41),($AP$35-$AP$41),CB32),0)</f>
        <v>0</v>
      </c>
      <c r="CD37" s="57">
        <f>IF(AND($AQ37&lt;=$CB$32,$CB$32&lt;=$AR37,$CB$33&gt;=CD$35),IF(CB32&gt;($AP$35-$AP$41*2),($AP$35-$AP$41*2),CB32),0)</f>
        <v>0</v>
      </c>
      <c r="CE37" s="57">
        <f>IF(AND($AQ37&lt;=CE32,CE32&lt;=$AR37,CE$35&lt;=CE33,CE33&lt;=CE$36),IF(CE32&gt;$AP$35,$AP$35,CE32),0)</f>
        <v>0</v>
      </c>
      <c r="CF37" s="57">
        <f>IF(AND($AQ37&lt;=CE32,CE32&lt;=$AR37,CE33&gt;=CF$35,CE33&lt;=CF$36),IF(CE32&gt;($AP$35-$AP$41),($AP$35-$AP$41),CE32),0)</f>
        <v>0</v>
      </c>
      <c r="CG37" s="57">
        <f>IF(AND($AQ37&lt;=CE32,CE32&lt;=$AR37,CE33&gt;=CG$35),IF(CE32&gt;($AP$35-$AP$41*2),($AP$35-$AP$41*2),CE32),0)</f>
        <v>0</v>
      </c>
      <c r="CH37" s="63"/>
      <c r="CI37" s="49"/>
    </row>
    <row r="38" spans="1:90" ht="11.25" customHeight="1" x14ac:dyDescent="0.15">
      <c r="A38" s="71" t="s">
        <v>14</v>
      </c>
      <c r="B38" s="109">
        <f>IF($B$17=$AG$39,ROUNDDOWN($X$17*$B$31/100,0),0)</f>
        <v>0</v>
      </c>
      <c r="C38" s="106" t="s">
        <v>18</v>
      </c>
      <c r="D38" s="109">
        <f>IF($Z$17&lt;=0,0,IF($B$17=$AG$39,ROUNDDOWN($Z$17*$D$31/100,0),0))</f>
        <v>0</v>
      </c>
      <c r="E38" s="106" t="s">
        <v>18</v>
      </c>
      <c r="F38" s="109">
        <f>IF(AND($B$17=$AG$39,$AJ$24=0,$AJ$7&lt;6),$F$31/2,IF(AND($B$17=$AG$39,$AJ$7&lt;6),$F$31/2*(1-$B$24/10),IF(AND($B$17=$AG$39,$AJ$24=0),$F$31,IF(AND($B$17=$AG$39),$F$31*(1-$B$24/10),0))))</f>
        <v>0</v>
      </c>
      <c r="G38" s="106" t="s">
        <v>18</v>
      </c>
      <c r="H38" s="111"/>
      <c r="I38" s="112"/>
      <c r="J38" s="109">
        <f>IF($B$17=$AG$39,ROUNDDOWN($X$17*$J$31/100,0),0)</f>
        <v>0</v>
      </c>
      <c r="K38" s="106" t="s">
        <v>18</v>
      </c>
      <c r="L38" s="109">
        <f>IF($Z$17&lt;=0,0,IF($B$17=$AG$39,ROUNDDOWN($Z$17*$L$31/100,0),0))</f>
        <v>0</v>
      </c>
      <c r="M38" s="106" t="s">
        <v>18</v>
      </c>
      <c r="N38" s="109">
        <f>IF(AND($B$17=$AG$39,$AJ$24=0,$AJ$7&lt;6),$N$31/2,IF(AND($B$17=$AG$39,$AJ$7&lt;6),$N$31/2*(1-$B$24/10),IF(AND($B$17=$AG$39,$AJ$24=0),$N$31,IF(AND($B$17=$AG$39),$N$31*(1-$B$24/10),0))))</f>
        <v>0</v>
      </c>
      <c r="O38" s="106" t="s">
        <v>18</v>
      </c>
      <c r="P38" s="111"/>
      <c r="Q38" s="112"/>
      <c r="R38" s="109">
        <f>IF(AND($B$17=$AG$39,$AJ7&lt;65,$AJ7&gt;=40),ROUNDDOWN($X$17*$R$31/100,0),0)</f>
        <v>0</v>
      </c>
      <c r="S38" s="106" t="s">
        <v>18</v>
      </c>
      <c r="T38" s="109">
        <f>IF($Z$17&lt;=0,0,IF(AND($B$17=$AG$39,$AJ7&lt;65,$AJ7&gt;=40),ROUNDDOWN($Z$17*$T$31/100,0),0))</f>
        <v>0</v>
      </c>
      <c r="U38" s="106" t="s">
        <v>18</v>
      </c>
      <c r="V38" s="109">
        <f>IF(AND($B$17=$AG$39,$AJ$24=0,$AJ7&lt;65,$AJ7&gt;=40),$V$31,IF(AND($B$17=$AG$39,$AJ7&lt;65,$AJ7&gt;=40),$V$31*(1-$B$24/10),0))</f>
        <v>0</v>
      </c>
      <c r="W38" s="106" t="s">
        <v>18</v>
      </c>
      <c r="X38" s="111"/>
      <c r="Y38" s="112"/>
      <c r="Z38" s="109">
        <f>IF($B$17=$AG$39,ROUNDDOWN($X$17*$Z$31/100,0),0)</f>
        <v>0</v>
      </c>
      <c r="AA38" s="106" t="s">
        <v>18</v>
      </c>
      <c r="AB38" s="109">
        <f>IF(AND($B$17=$AG$39,$AJ$24=0,$AJ$7&lt;6),$AB$31/2,IF(AND($B$17=$AG$39,$AJ$7&lt;6),$AB$31/2*(1-$B$24/10),IF(AND($B$17=$AG$39,$AJ$24=0),$AB$31,IF(AND($B$17=$AG$39),$AB$31*(1-$B$24/10),0))))</f>
        <v>0</v>
      </c>
      <c r="AC38" s="106" t="s">
        <v>18</v>
      </c>
      <c r="AD38" s="111"/>
      <c r="AE38" s="167"/>
      <c r="AF38" s="53"/>
      <c r="AG38" s="52"/>
      <c r="AH38" s="52"/>
      <c r="AI38" s="52"/>
      <c r="AJ38" s="52"/>
      <c r="AK38" s="52"/>
      <c r="AL38" s="52"/>
      <c r="AM38" s="52"/>
      <c r="AN38" s="52"/>
      <c r="AO38" s="52"/>
      <c r="AP38" s="65">
        <v>685000</v>
      </c>
      <c r="AQ38" s="57">
        <f>AR37+1</f>
        <v>1300001</v>
      </c>
      <c r="AR38" s="57">
        <v>4100000</v>
      </c>
      <c r="AS38" s="57">
        <f>IF(AND($AQ38&lt;=$AS$32,$AS$32&lt;=$AR38,AS$35&lt;=$AS$33,$AS$33&lt;=AS$36),$AS$32*$AP$32+$AP$37,0)</f>
        <v>0</v>
      </c>
      <c r="AT38" s="57">
        <f>IF(AND($AQ38&lt;=$AS$32,$AS$32&lt;=$AR38,$AS$33&gt;=AT$35,$AS$33&lt;=AT$36),$AS$32*$AP$32+$AP$37-$AP$41,0)</f>
        <v>0</v>
      </c>
      <c r="AU38" s="57">
        <f>IF(AND($AQ38&lt;=$AS$32,$AS$32&lt;=$AR38,$AS$33&gt;=AU$35),$AS$32*$AP$32+$AP$37-$AP$41*2,0)</f>
        <v>0</v>
      </c>
      <c r="AV38" s="57">
        <f>IF(AND($AQ38&lt;=AV32,AV32&lt;=$AR38,AV$35&lt;=AV33,AV33&lt;=AV$36),AV32*$AP$32+$AP$37,0)</f>
        <v>0</v>
      </c>
      <c r="AW38" s="57">
        <f>IF(AND($AQ38&lt;=AV32,AV32&lt;=$AR38,AV33&gt;=AW$35,AV33&lt;=AW$36),AV32*$AP$32+$AP$37-$AP$41,0)</f>
        <v>0</v>
      </c>
      <c r="AX38" s="57">
        <f>IF(AND($AQ38&lt;=AV32,AV32&lt;=$AR38,AV33&gt;=AX$35),AV32*$AP$32+$AP$37-$AP$41*2,0)</f>
        <v>0</v>
      </c>
      <c r="AY38" s="57"/>
      <c r="AZ38" s="57">
        <f>IF(AND($AQ38&lt;=$AZ$32,$AZ$32&lt;=$AR38,AZ$35&lt;=$AZ$33,$AZ$33&lt;=AZ$36),$AZ$32*$AP$32+$AP$37,0)</f>
        <v>0</v>
      </c>
      <c r="BA38" s="57">
        <f>IF(AND($AQ38&lt;=$AZ$32,$AZ$32&lt;=$AR38,$AZ$33&gt;=BA$35,$AZ$33&lt;=BA$36),$AZ$32*$AP$32+$AP$37-$AP$41,0)</f>
        <v>0</v>
      </c>
      <c r="BB38" s="57">
        <f>IF(AND($AQ38&lt;=$AZ$32,$AZ$32&lt;=$AR38,$AZ$33&gt;=BB$35),$AZ$32*$AP$32+$AP$37-$AP$41*2,0)</f>
        <v>0</v>
      </c>
      <c r="BC38" s="57">
        <f>IF(AND($AQ38&lt;=BC32,BC32&lt;=$AR38,BC$35&lt;=BC33,BC33&lt;=BC$36),BC32*$AP$32+$AP$37,0)</f>
        <v>0</v>
      </c>
      <c r="BD38" s="57">
        <f>IF(AND($AQ38&lt;=BC32,BC32&lt;=$AR38,BC33&gt;=BD$35,BC33&lt;=BD$36),BC32*$AP$32+$AP$37-$AP$41,0)</f>
        <v>0</v>
      </c>
      <c r="BE38" s="57">
        <f>IF(AND($AQ38&lt;=BC32,BC32&lt;=$AR38,BC33&gt;=BE$35),BC32*$AP$32+$AP$37-$AP$41*2,0)</f>
        <v>0</v>
      </c>
      <c r="BF38" s="66"/>
      <c r="BG38" s="57">
        <f>IF(AND($AQ38&lt;=$BG$32,$BG$32&lt;=$AR38,BG$35&lt;=$BG$33,$BG$33&lt;=BG$36),$BG$32*$AP$32+$AP$37,0)</f>
        <v>0</v>
      </c>
      <c r="BH38" s="57">
        <f>IF(AND($AQ38&lt;=$BG$32,$BG$32&lt;=$AR38,$BG$33&gt;=BH$35,$BG$33&lt;=BH$36),$BG$32*$AP$32+$AP$37-$AP$41,0)</f>
        <v>0</v>
      </c>
      <c r="BI38" s="57">
        <f>IF(AND($AQ38&lt;=$BG$32,$BG$32&lt;=$AR38,$BG$33&gt;=BI$35),$BG$32*$AP$32+$AP$37-$AP$41*2,0)</f>
        <v>0</v>
      </c>
      <c r="BJ38" s="57">
        <f>IF(AND($AQ38&lt;=BJ32,BJ32&lt;=$AR38,BJ$35&lt;=BJ33,BJ33&lt;=BJ$36),BJ32*$AP$32+$AP$37,0)</f>
        <v>0</v>
      </c>
      <c r="BK38" s="57">
        <f>IF(AND($AQ38&lt;=BJ32,BJ32&lt;=$AR38,BJ33&gt;=BK$35,BJ33&lt;=BK$36),BJ32*$AP$32+$AP$37-$AP$41,0)</f>
        <v>0</v>
      </c>
      <c r="BL38" s="57">
        <f>IF(AND($AQ38&lt;=BJ32,BJ32&lt;=$AR38,BJ33&gt;=BL$35),BJ32*$AP$32+$AP$37-$AP$41*2,0)</f>
        <v>0</v>
      </c>
      <c r="BM38" s="66"/>
      <c r="BN38" s="57">
        <f>IF(AND($AQ38&lt;=$BN$32,$BN$32&lt;=$AR38,BN$35&lt;=$BN$33,$BN$33&lt;=BN$36),$BN$32*$AP$32+$AP$37,0)</f>
        <v>0</v>
      </c>
      <c r="BO38" s="57">
        <f>IF(AND($AQ38&lt;=$BN$32,$BN$32&lt;=$AR38,$BN$33&gt;=BO$35,$BN$33&lt;=BO$36),$BN$32*$AP$32+$AP$37-$AP$41,0)</f>
        <v>0</v>
      </c>
      <c r="BP38" s="57">
        <f>IF(AND($AQ38&lt;=$BN$32,$BN$32&lt;=$AR38,$BN$33&gt;=BP$35),$BN$32*$AP$32+$AP$37-$AP$41*2,0)</f>
        <v>0</v>
      </c>
      <c r="BQ38" s="57">
        <f>IF(AND($AQ38&lt;=BQ32,BQ32&lt;=$AR38,BQ$35&lt;=BQ33,BQ33&lt;=BQ$36),BQ32*$AP$32+$AP$37,0)</f>
        <v>0</v>
      </c>
      <c r="BR38" s="57">
        <f>IF(AND($AQ38&lt;=BQ32,BQ32&lt;=$AR38,BQ33&gt;=BR$35,BQ33&lt;=BR$36),BQ32*$AP$32+$AP$37-$AP$41,0)</f>
        <v>0</v>
      </c>
      <c r="BS38" s="57">
        <f>IF(AND($AQ38&lt;=BQ32,BQ32&lt;=$AR38,BQ33&gt;=BS$35),BQ32*$AP$32+$AP$37-$AP$41*2,0)</f>
        <v>0</v>
      </c>
      <c r="BT38" s="66"/>
      <c r="BU38" s="57">
        <f>IF(AND($AQ38&lt;=$BU$32,$BU$32&lt;=$AR38,BU$35&lt;=$BU$33,$BU$33&lt;=BU$36),$BU$32*$AP$32+$AP$37,0)</f>
        <v>0</v>
      </c>
      <c r="BV38" s="57">
        <f>IF(AND($AQ38&lt;=$BU$32,$BU$32&lt;=$AR38,$BU$33&gt;=BV$35,$BU$33&lt;=BV$36),$BU$32*$AP$32+$AP$37-$AP$41,0)</f>
        <v>0</v>
      </c>
      <c r="BW38" s="57">
        <f>IF(AND($AQ38&lt;=$BU$32,$BU$32&lt;=$AR38,$BU$33&gt;=BW$35),$BU$32*$AP$32+$AP$37-$AP$41*2,0)</f>
        <v>0</v>
      </c>
      <c r="BX38" s="57">
        <f>IF(AND($AQ38&lt;=BX32,BX32&lt;=$AR38,BX$35&lt;=BX33,BX33&lt;=BX$36),BX32*$AP$32+$AP$37,0)</f>
        <v>0</v>
      </c>
      <c r="BY38" s="57">
        <f>IF(AND($AQ38&lt;=BX32,BX32&lt;=$AR38,BX33&gt;=BY$35,BX33&lt;=BY$36),BX32*$AP$32+$AP$37-$AP$41,0)</f>
        <v>0</v>
      </c>
      <c r="BZ38" s="57">
        <f>IF(AND($AQ38&lt;=BX32,BX32&lt;=$AR38,BX33&gt;=BZ$35),BX32*$AP$32+$AP$37-$AP$41*2,0)</f>
        <v>0</v>
      </c>
      <c r="CA38" s="66"/>
      <c r="CB38" s="57">
        <f>IF(AND($AQ38&lt;=$CB$32,$CB$32&lt;=$AR38,CB$35&lt;=$CB$33,$CB$33&lt;=CB$36),$CB$32*$AP$32+$AP$37,0)</f>
        <v>0</v>
      </c>
      <c r="CC38" s="57">
        <f>IF(AND($AQ38&lt;=$CB$32,$CB$32&lt;=$AR38,$CB$33&gt;=CC$35,$CB$33&lt;=CC$36),$CB$32*$AP$32+$AP$37-$AP$41,0)</f>
        <v>0</v>
      </c>
      <c r="CD38" s="57">
        <f>IF(AND($AQ38&lt;=$CB$32,$CB$32&lt;=$AR38,$CB$33&gt;=CD$35),$CB$32*$AP$32+$AP$37-$AP$41*2,0)</f>
        <v>0</v>
      </c>
      <c r="CE38" s="57">
        <f>IF(AND($AQ38&lt;=CE32,CE32&lt;=$AR38,CE$35&lt;=CE33,CE33&lt;=CE$36),CE32*$AP$32+$AP$37,0)</f>
        <v>0</v>
      </c>
      <c r="CF38" s="57">
        <f>IF(AND($AQ38&lt;=CE32,CE32&lt;=$AR38,CE33&gt;=CF$35,CE33&lt;=CF$36),CE32*$AP$32+$AP$37-$AP$41,0)</f>
        <v>0</v>
      </c>
      <c r="CG38" s="57">
        <f>IF(AND($AQ38&lt;=CE32,CE32&lt;=$AR38,CE33&gt;=CG$35),CE32*$AP$32+$AP$37-$AP$41*2,0)</f>
        <v>0</v>
      </c>
      <c r="CH38" s="63"/>
      <c r="CI38" s="49"/>
    </row>
    <row r="39" spans="1:90" ht="11.25" customHeight="1" x14ac:dyDescent="0.15">
      <c r="A39" s="108"/>
      <c r="B39" s="110"/>
      <c r="C39" s="107"/>
      <c r="D39" s="110"/>
      <c r="E39" s="107"/>
      <c r="F39" s="110"/>
      <c r="G39" s="107"/>
      <c r="H39" s="111"/>
      <c r="I39" s="112"/>
      <c r="J39" s="110"/>
      <c r="K39" s="107"/>
      <c r="L39" s="110"/>
      <c r="M39" s="107"/>
      <c r="N39" s="110"/>
      <c r="O39" s="107"/>
      <c r="P39" s="111"/>
      <c r="Q39" s="112"/>
      <c r="R39" s="110"/>
      <c r="S39" s="107"/>
      <c r="T39" s="110"/>
      <c r="U39" s="107"/>
      <c r="V39" s="110"/>
      <c r="W39" s="107"/>
      <c r="X39" s="111"/>
      <c r="Y39" s="112"/>
      <c r="Z39" s="110"/>
      <c r="AA39" s="107"/>
      <c r="AB39" s="110"/>
      <c r="AC39" s="107"/>
      <c r="AD39" s="111"/>
      <c r="AE39" s="167"/>
      <c r="AF39" s="53" t="s">
        <v>52</v>
      </c>
      <c r="AG39" s="53" t="s">
        <v>56</v>
      </c>
      <c r="AH39" s="52"/>
      <c r="AI39" s="52"/>
      <c r="AJ39" s="52"/>
      <c r="AK39" s="52"/>
      <c r="AL39" s="52"/>
      <c r="AM39" s="52"/>
      <c r="AN39" s="52"/>
      <c r="AO39" s="52"/>
      <c r="AP39" s="65">
        <v>1455000</v>
      </c>
      <c r="AQ39" s="57">
        <f>AR38+1</f>
        <v>4100001</v>
      </c>
      <c r="AR39" s="57">
        <v>7700000</v>
      </c>
      <c r="AS39" s="57">
        <f>IF(AND($AQ39&lt;=$AS$32,$AS$32&lt;=$AR39,AS$35&lt;=$AS$33,$AS$33&lt;=AS$36),$AS$32*$AP$33+$AP$38,0)</f>
        <v>0</v>
      </c>
      <c r="AT39" s="57">
        <f>IF(AND($AQ39&lt;=$AS$32,$AS$32&lt;=$AR39,$AS$33&gt;=AT$35,$AS$33&lt;=AT$36),$AS$32*$AP$33+$AP$38-$AP$41,0)</f>
        <v>0</v>
      </c>
      <c r="AU39" s="57">
        <f>IF(AND($AQ39&lt;=$AS$32,$AS$32&lt;=$AR39,$AS$33&gt;=AU$35),$AS$32*$AP$33+$AP$38-$AP$41*2,0)</f>
        <v>0</v>
      </c>
      <c r="AV39" s="57">
        <f>IF(AND($AQ39&lt;=AV32,AV32&lt;=$AR39,AV$35&lt;=AV33,AV33&lt;=AV$36),AV32*$AP$33+$AP$38,0)</f>
        <v>0</v>
      </c>
      <c r="AW39" s="57">
        <f>IF(AND($AQ39&lt;=AV32,AV32&lt;=$AR39,AV33&gt;=AW$35,AV33&lt;=AW$36),AV32*$AP$33+$AP$38-$AP$41,0)</f>
        <v>0</v>
      </c>
      <c r="AX39" s="57">
        <f>IF(AND($AQ39&lt;=AV32,AV32&lt;=$AR39,AV33&gt;=AX$35),AV32*$AP$33+$AP$38-$AP$41*2,0)</f>
        <v>0</v>
      </c>
      <c r="AY39" s="57"/>
      <c r="AZ39" s="57">
        <f>IF(AND($AQ39&lt;=$AZ$32,$AZ$32&lt;=$AR39,AZ$35&lt;=$AZ$33,$AZ$33&lt;=AZ$36),$AZ$32*$AP$33+$AP$38,0)</f>
        <v>0</v>
      </c>
      <c r="BA39" s="57">
        <f>IF(AND($AQ39&lt;=$AZ$32,$AZ$32&lt;=$AR39,$AZ$33&gt;=BA$35,$AZ$33&lt;=BA$36),$AZ$32*$AP$33+$AP$38-$AP$41,0)</f>
        <v>0</v>
      </c>
      <c r="BB39" s="57">
        <f>IF(AND($AQ39&lt;=$AZ$32,$AZ$32&lt;=$AR39,$AZ$33&gt;=BB$35),$AZ$32*$AP$33+$AP$38-$AP$41*2,0)</f>
        <v>0</v>
      </c>
      <c r="BC39" s="57">
        <f>IF(AND($AQ39&lt;=BC32,BC32&lt;=$AR39,BC$35&lt;=BC33,BC33&lt;=BC$36),BC32*$AP$33+$AP$38,0)</f>
        <v>0</v>
      </c>
      <c r="BD39" s="57">
        <f>IF(AND($AQ39&lt;=BC32,BC32&lt;=$AR39,BC33&gt;=BD$35,BC33&lt;=BD$36),BC32*$AP$33+$AP$38-$AP$41,0)</f>
        <v>0</v>
      </c>
      <c r="BE39" s="57">
        <f>IF(AND($AQ39&lt;=BC32,BC32&lt;=$AR39,BC33&gt;=BE$35),BC32*$AP$33+$AP$38-$AP$41*2,0)</f>
        <v>0</v>
      </c>
      <c r="BF39" s="66"/>
      <c r="BG39" s="57">
        <f>IF(AND($AQ39&lt;=$BG$32,$BG$32&lt;=$AR39,BG$35&lt;=$BG$33,$BG$33&lt;=BG$36),$BG$32*$AP$33+$AP$38,0)</f>
        <v>0</v>
      </c>
      <c r="BH39" s="57">
        <f>IF(AND($AQ39&lt;=$BG$32,$BG$32&lt;=$AR39,$BG$33&gt;=BH$35,$BG$33&lt;=BH$36),$BG$32*$AP$33+$AP$38-$AP$41,0)</f>
        <v>0</v>
      </c>
      <c r="BI39" s="57">
        <f>IF(AND($AQ39&lt;=$BG$32,$BG$32&lt;=$AR39,$BG$33&gt;=BI$35),$BG$32*$AP$33+$AP$38-$AP$41*2,0)</f>
        <v>0</v>
      </c>
      <c r="BJ39" s="57">
        <f>IF(AND($AQ39&lt;=BJ32,BJ32&lt;=$AR39,BJ$35&lt;=BJ33,BJ33&lt;=BJ$36),BJ32*$AP$33+$AP$38,0)</f>
        <v>0</v>
      </c>
      <c r="BK39" s="57">
        <f>IF(AND($AQ39&lt;=BJ32,BJ32&lt;=$AR39,BJ33&gt;=BK$35,BJ33&lt;=BK$36),BJ32*$AP$33+$AP$38-$AP$41,0)</f>
        <v>0</v>
      </c>
      <c r="BL39" s="57">
        <f>IF(AND($AQ39&lt;=BJ32,BJ32&lt;=$AR39,BJ33&gt;=BL$35),BJ32*$AP$33+$AP$38-$AP$41*2,0)</f>
        <v>0</v>
      </c>
      <c r="BM39" s="66"/>
      <c r="BN39" s="57">
        <f>IF(AND($AQ39&lt;=$BN$32,$BN$32&lt;=$AR39,BN$35&lt;=$BN$33,$BN$33&lt;=BN$36),$BN$32*$AP$33+$AP$38,0)</f>
        <v>0</v>
      </c>
      <c r="BO39" s="57">
        <f>IF(AND($AQ39&lt;=$BN$32,$BN$32&lt;=$AR39,$BN$33&gt;=BO$35,$BN$33&lt;=BO$36),$BN$32*$AP$33+$AP$38-$AP$41,0)</f>
        <v>0</v>
      </c>
      <c r="BP39" s="57">
        <f>IF(AND($AQ39&lt;=$BN$32,$BN$32&lt;=$AR39,$BN$33&gt;=BP$35),$BN$32*$AP$33+$AP$38-$AP$41*2,0)</f>
        <v>0</v>
      </c>
      <c r="BQ39" s="57">
        <f>IF(AND($AQ39&lt;=BQ32,BQ32&lt;=$AR39,BQ$35&lt;=BQ33,BQ33&lt;=BQ$36),BQ32*$AP$33+$AP$38,0)</f>
        <v>0</v>
      </c>
      <c r="BR39" s="57">
        <f>IF(AND($AQ39&lt;=BQ32,BQ32&lt;=$AR39,BQ33&gt;=BR$35,BQ33&lt;=BR$36),BQ32*$AP$33+$AP$38-$AP$41,0)</f>
        <v>0</v>
      </c>
      <c r="BS39" s="57">
        <f>IF(AND($AQ39&lt;=BQ32,BQ32&lt;=$AR39,BQ33&gt;=BS$35),BQ32*$AP$33+$AP$38-$AP$41*2,0)</f>
        <v>0</v>
      </c>
      <c r="BT39" s="66"/>
      <c r="BU39" s="57">
        <f>IF(AND($AQ39&lt;=$BU$32,$BU$32&lt;=$AR39,BU$35&lt;=$BU$33,$BU$33&lt;=BU$36),$BU$32*$AP$33+$AP$38,0)</f>
        <v>0</v>
      </c>
      <c r="BV39" s="57">
        <f>IF(AND($AQ39&lt;=$BU$32,$BU$32&lt;=$AR39,$BU$33&gt;=BV$35,$BU$33&lt;=BV$36),$BU$32*$AP$33+$AP$38-$AP$41,0)</f>
        <v>0</v>
      </c>
      <c r="BW39" s="57">
        <f>IF(AND($AQ39&lt;=$BU$32,$BU$32&lt;=$AR39,$BU$33&gt;=BW$35),$BU$32*$AP$33+$AP$38-$AP$41*2,0)</f>
        <v>0</v>
      </c>
      <c r="BX39" s="57">
        <f>IF(AND($AQ39&lt;=BX32,BX32&lt;=$AR39,BX$35&lt;=BX33,BX33&lt;=BX$36),BX32*$AP$33+$AP$38,0)</f>
        <v>0</v>
      </c>
      <c r="BY39" s="57">
        <f>IF(AND($AQ39&lt;=BX32,BX32&lt;=$AR39,BX33&gt;=BY$35,BX33&lt;=BY$36),BX32*$AP$33+$AP$38-$AP$41,0)</f>
        <v>0</v>
      </c>
      <c r="BZ39" s="57">
        <f>IF(AND($AQ39&lt;=BX32,BX32&lt;=$AR39,BX33&gt;=BZ$35),BX32*$AP$33+$AP$38-$AP$41*2,0)</f>
        <v>0</v>
      </c>
      <c r="CA39" s="66"/>
      <c r="CB39" s="57">
        <f>IF(AND($AQ39&lt;=$CB$32,$CB$32&lt;=$AR39,CB$35&lt;=$CB$33,$CB$33&lt;=CB$36),$CB$32*$AP$33+$AP$38,0)</f>
        <v>0</v>
      </c>
      <c r="CC39" s="57">
        <f>IF(AND($AQ39&lt;=$CB$32,$CB$32&lt;=$AR39,$CB$33&gt;=CC$35,$CB$33&lt;=CC$36),$CB$32*$AP$33+$AP$38-$AP$41,0)</f>
        <v>0</v>
      </c>
      <c r="CD39" s="57">
        <f>IF(AND($AQ39&lt;=$CB$32,$CB$32&lt;=$AR39,$CB$33&gt;=CD$35),$CB$32*$AP$33+$AP$38-$AP$41*2,0)</f>
        <v>0</v>
      </c>
      <c r="CE39" s="57">
        <f>IF(AND($AQ39&lt;=CE32,CE32&lt;=$AR39,CE$35&lt;=CE33,CE33&lt;=CE$36),CE32*$AP$33+$AP$38,0)</f>
        <v>0</v>
      </c>
      <c r="CF39" s="57">
        <f>IF(AND($AQ39&lt;=CE32,CE32&lt;=$AR39,CE33&gt;=CF$35,CE33&lt;=CF$36),CE32*$AP$33+$AP$38-$AP$41,0)</f>
        <v>0</v>
      </c>
      <c r="CG39" s="57">
        <f>IF(AND($AQ39&lt;=CE32,CE32&lt;=$AR39,CE33&gt;=CG$35),CE32*$AP$33+$AP$38-$AP$41*2,0)</f>
        <v>0</v>
      </c>
      <c r="CH39" s="63"/>
      <c r="CI39" s="49"/>
    </row>
    <row r="40" spans="1:90" ht="11.25" customHeight="1" x14ac:dyDescent="0.15">
      <c r="A40" s="71" t="s">
        <v>15</v>
      </c>
      <c r="B40" s="109">
        <f>IF($B$19=$AG$39,ROUNDDOWN($X$19*$B$31/100,0),0)</f>
        <v>0</v>
      </c>
      <c r="C40" s="106" t="s">
        <v>18</v>
      </c>
      <c r="D40" s="109">
        <f>IF($Z$19&lt;=0,0,IF($B$19=$AG$39,ROUNDDOWN($Z$19*$D$31/100,0),0))</f>
        <v>0</v>
      </c>
      <c r="E40" s="106" t="s">
        <v>18</v>
      </c>
      <c r="F40" s="109">
        <f>IF(AND($B$19=$AG$39,$AJ$24=0,$AJ$8&lt;6),$F$31/2,IF(AND($B$19=$AG$39,$AJ$8&lt;6),$F$31/2*(1-$B$24/10),IF(AND($B$19=$AG$39,$AJ$24=0),$F$31,IF(AND($B$19=$AG$39),$F$31*(1-$B$24/10),0))))</f>
        <v>0</v>
      </c>
      <c r="G40" s="106" t="s">
        <v>18</v>
      </c>
      <c r="H40" s="111"/>
      <c r="I40" s="112"/>
      <c r="J40" s="109">
        <f>IF($B$19=$AG$39,ROUNDDOWN($X$19*$J$31/100,0),0)</f>
        <v>0</v>
      </c>
      <c r="K40" s="106" t="s">
        <v>18</v>
      </c>
      <c r="L40" s="109">
        <f>IF($Z$19&lt;=0,0,IF($B$19=$AG$39,ROUNDDOWN($Z$19*$L$31/100,0),0))</f>
        <v>0</v>
      </c>
      <c r="M40" s="106" t="s">
        <v>18</v>
      </c>
      <c r="N40" s="109">
        <f>IF(AND($B$19=$AG$39,$AJ$24=0,$AJ$8&lt;6),$N$31/2,IF(AND($B$19=$AG$39,$AJ$8&lt;6),$N$31/2*(1-$B$24/10),IF(AND($B$19=$AG$39,$AJ$24=0),$N$31,IF(AND($B$19=$AG$39),$N$31*(1-$B$24/10),0))))</f>
        <v>0</v>
      </c>
      <c r="O40" s="106" t="s">
        <v>18</v>
      </c>
      <c r="P40" s="111"/>
      <c r="Q40" s="112"/>
      <c r="R40" s="109">
        <f>IF(AND($B$19=$AG$39,$AJ8&lt;65,$AJ8&gt;=40),ROUNDDOWN($X$19*$R$31/100,0),0)</f>
        <v>0</v>
      </c>
      <c r="S40" s="106" t="s">
        <v>18</v>
      </c>
      <c r="T40" s="109">
        <f>IF($Z$19&lt;=0,0,IF(AND($B$19=$AG$39,$AJ8&lt;65,$AJ8&gt;=40),ROUNDDOWN($Z$19*$T$31/100,0),0))</f>
        <v>0</v>
      </c>
      <c r="U40" s="106" t="s">
        <v>18</v>
      </c>
      <c r="V40" s="109">
        <f>IF(AND($B$19=$AG$39,$AJ$24=0,$AJ8&lt;65,$AJ8&gt;=40),$V$31,IF(AND($B$19=$AG$39,$AJ8&lt;65,$AJ8&gt;=40),$V$31*(1-$B$24/10),0))</f>
        <v>0</v>
      </c>
      <c r="W40" s="106" t="s">
        <v>18</v>
      </c>
      <c r="X40" s="111"/>
      <c r="Y40" s="112"/>
      <c r="Z40" s="109">
        <f>IF($B$19=$AG$39,ROUNDDOWN($X$19*$Z$31/100,0),0)</f>
        <v>0</v>
      </c>
      <c r="AA40" s="106" t="s">
        <v>18</v>
      </c>
      <c r="AB40" s="109">
        <f>IF(AND($B$19=$AG$39,$AJ$24=0,$AJ$8&lt;6),$AB$31/2,IF(AND($B$19=$AG$39,$AJ$8&lt;6),$AB$31/2*(1-$B$24/10),IF(AND($B$19=$AG$39,$AJ$24=0),$AB$31,IF(AND($B$19=$AG$39),$AB$31*(1-$B$24/10),0))))</f>
        <v>0</v>
      </c>
      <c r="AC40" s="106" t="s">
        <v>18</v>
      </c>
      <c r="AD40" s="111"/>
      <c r="AE40" s="167"/>
      <c r="AF40" s="53" t="s">
        <v>53</v>
      </c>
      <c r="AG40" s="53" t="s">
        <v>57</v>
      </c>
      <c r="AH40" s="52"/>
      <c r="AI40" s="52"/>
      <c r="AJ40" s="52"/>
      <c r="AK40" s="52"/>
      <c r="AL40" s="52"/>
      <c r="AM40" s="52"/>
      <c r="AN40" s="52"/>
      <c r="AO40" s="52"/>
      <c r="AP40" s="65">
        <v>1955000</v>
      </c>
      <c r="AQ40" s="57">
        <f>AR39+1</f>
        <v>7700001</v>
      </c>
      <c r="AR40" s="57">
        <v>10000000</v>
      </c>
      <c r="AS40" s="57">
        <f>IF(AND($AQ40&lt;=$AS$32,$AS$32&lt;=$AR40,AS$35&lt;=$AS$33,$AS$33&lt;=AS$36),$AS$32*$AP$34+$AP$39,0)</f>
        <v>0</v>
      </c>
      <c r="AT40" s="57">
        <f>IF(AND($AQ40&lt;=$AS$32,$AS$32&lt;=$AR40,$AS$33&gt;=AT$35,$AS$33&lt;=AT$36),$AS$32*$AP$34+$AP$39-$AP$41,0)</f>
        <v>0</v>
      </c>
      <c r="AU40" s="57">
        <f>IF(AND($AQ40&lt;=$AS$32,$AS$32&lt;=$AR40,$AS$33&gt;=AU$35),$AS$32*$AP$34+$AP$39-$AP$41*2,0)</f>
        <v>0</v>
      </c>
      <c r="AV40" s="57">
        <f>IF(AND($AQ40&lt;=AV32,AV32&lt;=$AR40,AV$35&lt;=AV33,AV33&lt;=AV$36),AV32*$AP$34+$AP$39,0)</f>
        <v>0</v>
      </c>
      <c r="AW40" s="57">
        <f>IF(AND($AQ40&lt;=AV32,AV32&lt;=$AR40,AV33&gt;=AW$35,AV33&lt;=AW$36),AV32*$AP$34+$AP$39-$AP$41,0)</f>
        <v>0</v>
      </c>
      <c r="AX40" s="57">
        <f>IF(AND($AQ40&lt;=AV32,AV32&lt;=$AR40,AV33&gt;=AX$35),AV32*$AP$34+$AP$39-$AP$41*2,0)</f>
        <v>0</v>
      </c>
      <c r="AY40" s="57"/>
      <c r="AZ40" s="57">
        <f>IF(AND($AQ40&lt;=$AZ$32,$AZ$32&lt;=$AR40,AZ$35&lt;=$AZ$33,$AZ$33&lt;=AZ$36),$AZ$32*$AP$34+$AP$39,0)</f>
        <v>0</v>
      </c>
      <c r="BA40" s="57">
        <f>IF(AND($AQ40&lt;=$AZ$32,$AZ$32&lt;=$AR40,$AZ$33&gt;=BA$35,$AZ$33&lt;=BA$36),$AZ$32*$AP$34+$AP$39-$AP$41,0)</f>
        <v>0</v>
      </c>
      <c r="BB40" s="57">
        <f>IF(AND($AQ40&lt;=$AZ$32,$AZ$32&lt;=$AR40,$AZ$33&gt;=BB$35),$AZ$32*$AP$34+$AP$39-$AP$41*2,0)</f>
        <v>0</v>
      </c>
      <c r="BC40" s="57">
        <f>IF(AND($AQ40&lt;=BC32,BC32&lt;=$AR40,BC$35&lt;=BC33,BC33&lt;=BC$36),BC32*$AP$34+$AP$39,0)</f>
        <v>0</v>
      </c>
      <c r="BD40" s="57">
        <f>IF(AND($AQ40&lt;=BC32,BC32&lt;=$AR40,BC33&gt;=BD$35,BC33&lt;=BD$36),BC32*$AP$34+$AP$39-$AP$41,0)</f>
        <v>0</v>
      </c>
      <c r="BE40" s="57">
        <f>IF(AND($AQ40&lt;=BC32,BC32&lt;=$AR40,BC33&gt;=BE$35),BC32*$AP$34+$AP$39-$AP$41*2,0)</f>
        <v>0</v>
      </c>
      <c r="BF40" s="66"/>
      <c r="BG40" s="57">
        <f>IF(AND($AQ40&lt;=$BG$32,$BG$32&lt;=$AR40,BG$35&lt;=$BG$33,$BG$33&lt;=BG$36),$BG$32*$AP$34+$AP$39,0)</f>
        <v>0</v>
      </c>
      <c r="BH40" s="57">
        <f>IF(AND($AQ40&lt;=$BG$32,$BG$32&lt;=$AR40,$BG$33&gt;=BH$35,$BG$33&lt;=BH$36),$BG$32*$AP$34+$AP$39-$AP$41,0)</f>
        <v>0</v>
      </c>
      <c r="BI40" s="57">
        <f>IF(AND($AQ40&lt;=$BG$32,$BG$32&lt;=$AR40,$BG$33&gt;=BI$35),$BG$32*$AP$34+$AP$39-$AP$41*2,0)</f>
        <v>0</v>
      </c>
      <c r="BJ40" s="57">
        <f>IF(AND($AQ40&lt;=BJ32,BJ32&lt;=$AR40,BJ$35&lt;=BJ33,BJ33&lt;=BJ$36),BJ32*$AP$34+$AP$39,0)</f>
        <v>0</v>
      </c>
      <c r="BK40" s="57">
        <f>IF(AND($AQ40&lt;=BJ32,BJ32&lt;=$AR40,BJ33&gt;=BK$35,BJ33&lt;=BK$36),BJ32*$AP$34+$AP$39-$AP$41,0)</f>
        <v>0</v>
      </c>
      <c r="BL40" s="57">
        <f>IF(AND($AQ40&lt;=BJ32,BJ32&lt;=$AR40,BJ33&gt;=BL$35),BJ32*$AP$34+$AP$39-$AP$41*2,0)</f>
        <v>0</v>
      </c>
      <c r="BM40" s="66"/>
      <c r="BN40" s="57">
        <f>IF(AND($AQ40&lt;=$BN$32,$BN$32&lt;=$AR40,BN$35&lt;=$BN$33,$BN$33&lt;=BN$36),$BN$32*$AP$34+$AP$39,0)</f>
        <v>0</v>
      </c>
      <c r="BO40" s="57">
        <f>IF(AND($AQ40&lt;=$BN$32,$BN$32&lt;=$AR40,$BN$33&gt;=BO$35,$BN$33&lt;=BO$36),$BN$32*$AP$34+$AP$39-$AP$41,0)</f>
        <v>0</v>
      </c>
      <c r="BP40" s="57">
        <f>IF(AND($AQ40&lt;=$BN$32,$BN$32&lt;=$AR40,$BN$33&gt;=BP$35),$BN$32*$AP$34+$AP$39-$AP$41*2,0)</f>
        <v>0</v>
      </c>
      <c r="BQ40" s="57">
        <f>IF(AND($AQ40&lt;=BQ32,BQ32&lt;=$AR40,BQ$35&lt;=BQ33,BQ33&lt;=BQ$36),BQ32*$AP$34+$AP$39,0)</f>
        <v>0</v>
      </c>
      <c r="BR40" s="57">
        <f>IF(AND($AQ40&lt;=BQ32,BQ32&lt;=$AR40,BQ33&gt;=BR$35,BQ33&lt;=BR$36),BQ32*$AP$34+$AP$39-$AP$41,0)</f>
        <v>0</v>
      </c>
      <c r="BS40" s="57">
        <f>IF(AND($AQ40&lt;=BQ32,BQ32&lt;=$AR40,BQ33&gt;=BS$35),BQ32*$AP$34+$AP$39-$AP$41*2,0)</f>
        <v>0</v>
      </c>
      <c r="BT40" s="66"/>
      <c r="BU40" s="57">
        <f>IF(AND($AQ40&lt;=$BU$32,$BU$32&lt;=$AR40,BU$35&lt;=$BU$33,$BHW42&lt;=BU$36),$BU$32*$AP$34+$AP$39,0)</f>
        <v>0</v>
      </c>
      <c r="BV40" s="57">
        <f>IF(AND($AQ40&lt;=$BU$32,$BU$32&lt;=$AR40,$BU$33&gt;=BV$35,$BU$33&lt;=BV$36),$BU$32*$AP$34+$AP$39-$AP$41,0)</f>
        <v>0</v>
      </c>
      <c r="BW40" s="57">
        <f>IF(AND($AQ40&lt;=$BU$32,$BU$32&lt;=$AR40,$BU$33&gt;=BW$35),$BU$32*$AP$34+$AP$39-$AP$41*2,0)</f>
        <v>0</v>
      </c>
      <c r="BX40" s="57">
        <f>IF(AND($AQ40&lt;=BX32,BX32&lt;=$AR40,BX$35&lt;=BX33,BX33&lt;=BX$36),BX32*$AP$34+$AP$39,0)</f>
        <v>0</v>
      </c>
      <c r="BY40" s="57">
        <f>IF(AND($AQ40&lt;=BX32,BX32&lt;=$AR40,BX33&gt;=BY$35,BX33&lt;=BY$36),BX32*$AP$34+$AP$39-$AP$41,0)</f>
        <v>0</v>
      </c>
      <c r="BZ40" s="57">
        <f>IF(AND($AQ40&lt;=BX32,BX32&lt;=$AR40,BX33&gt;=BZ$35),BX32*$AP$34+$AP$39-$AP$41*2,0)</f>
        <v>0</v>
      </c>
      <c r="CA40" s="66"/>
      <c r="CB40" s="57">
        <f>IF(AND($AQ40&lt;=$CB$32,$CB$32&lt;=$AR40,CB$35&lt;=$CB$33,$BHW42&lt;=CB$36),$CB$32*$AP$34+$AP$39,0)</f>
        <v>0</v>
      </c>
      <c r="CC40" s="57">
        <f>IF(AND($AQ40&lt;=$CB$32,$CB$32&lt;=$AR40,$CB$33&gt;=CC$35,$CB$33&lt;=CC$36),$CB$32*$AP$34+$AP$39-$AP$41,0)</f>
        <v>0</v>
      </c>
      <c r="CD40" s="57">
        <f>IF(AND($AQ40&lt;=$CB$32,$CB$32&lt;=$AR40,$CB$33&gt;=CD$35),$CB$32*$AP$34+$AP$39-$AP$41*2,0)</f>
        <v>0</v>
      </c>
      <c r="CE40" s="57">
        <f>IF(AND($AQ40&lt;=CE32,CE32&lt;=$AR40,CE$35&lt;=CE33,CE33&lt;=CE$36),CE32*$AP$34+$AP$39,0)</f>
        <v>0</v>
      </c>
      <c r="CF40" s="57">
        <f>IF(AND($AQ40&lt;=CE32,CE32&lt;=$AR40,CE33&gt;=CF$35,CE33&lt;=CF$36),CE32*$AP$34+$AP$39-$AP$41,0)</f>
        <v>0</v>
      </c>
      <c r="CG40" s="57">
        <f>IF(AND($AQ40&lt;=CE32,CE32&lt;=$AR40,CE33&gt;=CG$35),CE32*$AP$34+$AP$39-$AP$41*2,0)</f>
        <v>0</v>
      </c>
      <c r="CH40" s="63"/>
      <c r="CI40" s="49"/>
    </row>
    <row r="41" spans="1:90" ht="11.25" customHeight="1" x14ac:dyDescent="0.15">
      <c r="A41" s="108"/>
      <c r="B41" s="110"/>
      <c r="C41" s="107"/>
      <c r="D41" s="110"/>
      <c r="E41" s="107"/>
      <c r="F41" s="110"/>
      <c r="G41" s="107"/>
      <c r="H41" s="111"/>
      <c r="I41" s="112"/>
      <c r="J41" s="110"/>
      <c r="K41" s="107"/>
      <c r="L41" s="110"/>
      <c r="M41" s="107"/>
      <c r="N41" s="110"/>
      <c r="O41" s="107"/>
      <c r="P41" s="111"/>
      <c r="Q41" s="112"/>
      <c r="R41" s="110"/>
      <c r="S41" s="107"/>
      <c r="T41" s="110"/>
      <c r="U41" s="107"/>
      <c r="V41" s="110"/>
      <c r="W41" s="107"/>
      <c r="X41" s="111"/>
      <c r="Y41" s="112"/>
      <c r="Z41" s="110"/>
      <c r="AA41" s="107"/>
      <c r="AB41" s="110"/>
      <c r="AC41" s="107"/>
      <c r="AD41" s="111"/>
      <c r="AE41" s="167"/>
      <c r="AF41" s="53" t="s">
        <v>54</v>
      </c>
      <c r="AG41" s="52"/>
      <c r="AH41" s="52"/>
      <c r="AI41" s="52"/>
      <c r="AJ41" s="52"/>
      <c r="AK41" s="52"/>
      <c r="AL41" s="52"/>
      <c r="AM41" s="52"/>
      <c r="AN41" s="52"/>
      <c r="AO41" s="52"/>
      <c r="AP41" s="65">
        <v>100000</v>
      </c>
      <c r="AQ41" s="57">
        <f>AR40+1</f>
        <v>10000001</v>
      </c>
      <c r="AR41" s="57"/>
      <c r="AS41" s="57">
        <f>IF(AND($AS$32&gt;=$AQ$41,AS$35&gt;=$AS$33,$AS$33&lt;=AS$36),$AP$40,0)</f>
        <v>0</v>
      </c>
      <c r="AT41" s="57">
        <f>IF(AND($AS$32&gt;=$AQ$41,$AS$33&gt;=AT$35,$AS$33&lt;=AT$36),$AP$40-$AP$41,0)</f>
        <v>0</v>
      </c>
      <c r="AU41" s="57">
        <f>IF(AND($AS$32&gt;=$AQ$41,$AS$33&gt;=AU$35),$AP$40-$AP$41*2,0)</f>
        <v>0</v>
      </c>
      <c r="AV41" s="57">
        <f>IF(AND(AV32&gt;=$AQ$41,AV$35&gt;=AV33,AV33&lt;=AV$36),$AP$40,0)</f>
        <v>0</v>
      </c>
      <c r="AW41" s="57">
        <f>IF(AND(AV32&gt;=$AQ$41,AV33&gt;=AW$35,AV33&lt;=AW$36),$AP$40-$AP$41,0)</f>
        <v>0</v>
      </c>
      <c r="AX41" s="57">
        <f>IF(AND(AV32&gt;=$AQ$41,AV33&gt;=AX$35),$AP$40-$AP$41*2,0)</f>
        <v>0</v>
      </c>
      <c r="AY41" s="57"/>
      <c r="AZ41" s="57">
        <f>IF(AND($AZ$32&gt;=$AQ41,AZ$35&gt;=$AZ$33,$AZ$33&lt;=AZ$36),$AP$40,0)</f>
        <v>0</v>
      </c>
      <c r="BA41" s="57">
        <f>IF(AND($AZ$32&gt;=$AQ41,$AZ$33&gt;=BA$35,$AZ$33&lt;=BA$36),$AP$40-$AP$41,0)</f>
        <v>0</v>
      </c>
      <c r="BB41" s="57">
        <f>IF(AND($AZ$32&gt;=$AQ41,$AZ$33&gt;=BB$35),$AP$40-$AP$41*2,0)</f>
        <v>0</v>
      </c>
      <c r="BC41" s="57">
        <f>IF(AND(BC32&gt;=$AQ$41,BC$35&gt;=BC33,BC33&lt;=BC$36),$AP$40,0)</f>
        <v>0</v>
      </c>
      <c r="BD41" s="57">
        <f>IF(AND(BC32&gt;=$AQ$41,BC33&gt;=BD$35,BC33&lt;=BD$36),$AP$40-$AP$41,0)</f>
        <v>0</v>
      </c>
      <c r="BE41" s="57">
        <f>IF(AND(BC32&gt;=$AQ$41,BC33&gt;=BE$35),$AP$40-$AP$41*2,0)</f>
        <v>0</v>
      </c>
      <c r="BF41" s="52"/>
      <c r="BG41" s="57">
        <f>IF(AND($BG$32&gt;=$AQ$41,BG$35&gt;=$BG$33,$BG$33&lt;=BG$36),$AP$40,0)</f>
        <v>0</v>
      </c>
      <c r="BH41" s="57">
        <f>IF(AND($BG$32&gt;=$AQ$41,$BG$33&gt;=BH$35,$BG$33&lt;=BH$36),$AP$40-$AP$41,0)</f>
        <v>0</v>
      </c>
      <c r="BI41" s="57">
        <f>IF(AND($BG$32&gt;=$AQ$41,$BG$33&gt;=BI$35),$AP$40-$AP$41*2,0)</f>
        <v>0</v>
      </c>
      <c r="BJ41" s="57">
        <f>IF(AND(BJ32&gt;=$AQ$41,BJ$35&gt;=BJ33,BJ33&lt;=BJ$36),$AP$40,0)</f>
        <v>0</v>
      </c>
      <c r="BK41" s="57">
        <f>IF(AND(BJ32&gt;=$AQ$41,BJ33&gt;=BK$35,BJ33&lt;=BK$36),$AP$40-$AP$41,0)</f>
        <v>0</v>
      </c>
      <c r="BL41" s="57">
        <f>IF(AND(BJ32&gt;=$AQ$41,BJ33&gt;=BL$35),$AP$40-$AP$41*2,0)</f>
        <v>0</v>
      </c>
      <c r="BM41" s="52"/>
      <c r="BN41" s="57">
        <f>IF(AND($BN$32&gt;=$AQ$41,BN$35&gt;=$BN$33,$BN$33&lt;=BN$36),$AP$40,0)</f>
        <v>0</v>
      </c>
      <c r="BO41" s="57">
        <f>IF(AND($BN$32&gt;=$AQ$41,$BN$33&gt;=BO$35,$BN$33&lt;=BO$36),$AP$40-$AP$41,0)</f>
        <v>0</v>
      </c>
      <c r="BP41" s="57">
        <f>IF(AND($BN$32&gt;=$AQ$41,$BN$33&gt;=BP$35),$AP$40-$AP$41*2,0)</f>
        <v>0</v>
      </c>
      <c r="BQ41" s="57">
        <f>IF(AND(BQ32&gt;=$AQ$41,BQ$35&gt;=BQ33,BQ33&lt;=BQ$36),$AP$40,0)</f>
        <v>0</v>
      </c>
      <c r="BR41" s="57">
        <f>IF(AND(BQ32&gt;=$AQ$41,BQ33&gt;=BR$35,BQ33&lt;=BR$36),$AP$40-$AP$41,0)</f>
        <v>0</v>
      </c>
      <c r="BS41" s="57">
        <f>IF(AND(BQ32&gt;=$AQ$41,BQ33&gt;=BS$35),$AP$40-$AP$41*2,0)</f>
        <v>0</v>
      </c>
      <c r="BT41" s="52"/>
      <c r="BU41" s="57">
        <f>IF(AND($BU$32&gt;=$AQ$41,BU$35&gt;=$BU$33,$BU$33&lt;=BU$36),$AP$40,0)</f>
        <v>0</v>
      </c>
      <c r="BV41" s="57">
        <f>IF(AND($BU$32&gt;=$AQ$41,$BU$33&gt;=BV$35,$BU$33&lt;=BV$36),$AP$40-$AP$41,0)</f>
        <v>0</v>
      </c>
      <c r="BW41" s="57">
        <f>IF(AND($BU$32&gt;=$AQ$41,$BU$33&gt;=BW$35),$AP$40-$AP$41*2,0)</f>
        <v>0</v>
      </c>
      <c r="BX41" s="57">
        <f>IF(AND(BX32&gt;=$AQ$41,BX$35&gt;=BX33,BX33&lt;=BX$36),$AP$40,0)</f>
        <v>0</v>
      </c>
      <c r="BY41" s="57">
        <f>IF(AND(BX32&gt;=$AQ$41,BX33&gt;=BY$35,BX33&lt;=BY$36),$AP$40-$AP$41,0)</f>
        <v>0</v>
      </c>
      <c r="BZ41" s="57">
        <f>IF(AND(BX32&gt;=$AQ$41,BX33&gt;=BZ$35),$AP$40-$AP$41*2,0)</f>
        <v>0</v>
      </c>
      <c r="CA41" s="52"/>
      <c r="CB41" s="57">
        <f>IF(AND($CB$32&gt;=$AQ$41,CB$35&gt;=$CB$33,$CB$33&lt;=CB$36),$AP$40,0)</f>
        <v>0</v>
      </c>
      <c r="CC41" s="57">
        <f>IF(AND($CB$32&gt;=$AQ$41,$CB$33&gt;=CC$35,$CB$33&lt;=CC$36),$AP$40-$AP$41,0)</f>
        <v>0</v>
      </c>
      <c r="CD41" s="57">
        <f>IF(AND($CB$32&gt;=$AQ$41,$CB$33&gt;=CD$35),$AP$40-$AP$41*2,0)</f>
        <v>0</v>
      </c>
      <c r="CE41" s="57">
        <f>IF(AND(CE32&gt;=$AQ$41,CE$35&gt;=CE33,CE33&lt;=CE$36),$AP$40,0)</f>
        <v>0</v>
      </c>
      <c r="CF41" s="57">
        <f>IF(AND(CE32&gt;=$AQ$41,CE33&gt;=CF$35,CE33&lt;=CF$36),$AP$40-$AP$41,0)</f>
        <v>0</v>
      </c>
      <c r="CG41" s="57">
        <f>IF(AND(CE32&gt;=$AQ$41,CE33&gt;=CG$35),$AP$40-$AP$41*2,0)</f>
        <v>0</v>
      </c>
      <c r="CH41" s="63"/>
      <c r="CI41" s="49"/>
    </row>
    <row r="42" spans="1:90" ht="11.25" customHeight="1" x14ac:dyDescent="0.15">
      <c r="A42" s="71" t="s">
        <v>16</v>
      </c>
      <c r="B42" s="109">
        <f>IF($B$21=$AG$39,ROUNDDOWN($X$21*$B$31/100,0),0)</f>
        <v>0</v>
      </c>
      <c r="C42" s="106" t="s">
        <v>18</v>
      </c>
      <c r="D42" s="109">
        <f>IF($Z$21&lt;=0,0,IF($B$21=$AG$39,ROUNDDOWN($Z$21*$D$31/100,0),0))</f>
        <v>0</v>
      </c>
      <c r="E42" s="106" t="s">
        <v>18</v>
      </c>
      <c r="F42" s="109">
        <f>IF(AND($B$21=$AG$39,$AJ$24=0,$AJ$9&lt;6),$F$31/2,IF(AND($B$21=$AG$39,$AJ$9&lt;6),$F$31/2*(1-$B$24/10),IF(AND($B$21=$AG$39,$AJ$24=0),$F$31,IF(AND($B$21=$AG$39),$F$31*(1-$B$24/10),0))))</f>
        <v>0</v>
      </c>
      <c r="G42" s="106" t="s">
        <v>18</v>
      </c>
      <c r="H42" s="111"/>
      <c r="I42" s="112"/>
      <c r="J42" s="109">
        <f>IF($B$21=$AG$39,ROUNDDOWN($X$21*$J$31/100,0),0)</f>
        <v>0</v>
      </c>
      <c r="K42" s="106" t="s">
        <v>18</v>
      </c>
      <c r="L42" s="109">
        <f>IF($Z$21&lt;=0,0,IF($B$21=$AG$39,ROUNDDOWN($Z$21*$L$31/100,0),0))</f>
        <v>0</v>
      </c>
      <c r="M42" s="106" t="s">
        <v>18</v>
      </c>
      <c r="N42" s="109">
        <f>IF(AND($B$21=$AG$39,$AJ$24=0,$AJ$9&lt;6),$N$31/2,IF(AND($B$21=$AG$39,$AJ$9&lt;6),$N$31/2*(1-$B$24/10),IF(AND($B$21=$AG$39,$AJ$24=0),$N$31,IF(AND($B$21=$AG$39),$N$31*(1-$B$24/10),0))))</f>
        <v>0</v>
      </c>
      <c r="O42" s="106" t="s">
        <v>18</v>
      </c>
      <c r="P42" s="111"/>
      <c r="Q42" s="112"/>
      <c r="R42" s="109">
        <f>IF(AND($B$21=$AG$39,$AJ9&lt;65,$AJ9&gt;=40),ROUNDDOWN($X$21*$R$31/100,0),0)</f>
        <v>0</v>
      </c>
      <c r="S42" s="106" t="s">
        <v>18</v>
      </c>
      <c r="T42" s="109">
        <f>IF($Z$21&lt;=0,0,IF(AND($B$21=$AG$39,$AJ9&lt;65,$AJ9&gt;=40),ROUNDDOWN($Z$21*$T$31/100,0),0))</f>
        <v>0</v>
      </c>
      <c r="U42" s="106" t="s">
        <v>18</v>
      </c>
      <c r="V42" s="109">
        <f>IF(AND($B$21=$AG$39,$AJ$24=0,$AJ9&lt;65,$AJ9&gt;=40),$V$31,IF(AND($B$21=$AG$39,$AJ9&lt;65,$AJ9&gt;=40),$V$31*(1-$B$24/10),0))</f>
        <v>0</v>
      </c>
      <c r="W42" s="106" t="s">
        <v>18</v>
      </c>
      <c r="X42" s="111"/>
      <c r="Y42" s="112"/>
      <c r="Z42" s="109">
        <f>IF($B$21=$AG$39,ROUNDDOWN($X$21*$Z$31/100,0),0)</f>
        <v>0</v>
      </c>
      <c r="AA42" s="106" t="s">
        <v>18</v>
      </c>
      <c r="AB42" s="109">
        <f>IF(AND($B$21=$AG$39,$AJ$24=0,$AJ$8&lt;6),$AB$31/2,IF(AND($B$21=$AG$39,$AJ$8&lt;6),$AB$31/2*(1-$B$24/10),IF(AND($B$21=$AG$39,$AJ$24=0),$AB$31,IF(AND($B$21=$AG$39),$AB$31*(1-$B$24/10),0))))</f>
        <v>0</v>
      </c>
      <c r="AC42" s="106" t="s">
        <v>18</v>
      </c>
      <c r="AD42" s="111"/>
      <c r="AE42" s="167"/>
      <c r="AF42" s="53" t="s">
        <v>61</v>
      </c>
      <c r="AG42" s="52"/>
      <c r="AH42" s="52"/>
      <c r="AI42" s="52"/>
      <c r="AJ42" s="52"/>
      <c r="AK42" s="52"/>
      <c r="AL42" s="52"/>
      <c r="AM42" s="52"/>
      <c r="AN42" s="52"/>
      <c r="AO42" s="53"/>
      <c r="AP42" s="53"/>
      <c r="AQ42" s="57"/>
      <c r="AR42" s="57"/>
      <c r="AS42" s="57"/>
      <c r="AT42" s="57"/>
      <c r="AU42" s="57"/>
      <c r="AV42" s="57"/>
      <c r="AW42" s="57"/>
      <c r="AX42" s="57"/>
      <c r="AY42" s="57"/>
      <c r="AZ42" s="57"/>
      <c r="BA42" s="57"/>
      <c r="BB42" s="57"/>
      <c r="BC42" s="57"/>
      <c r="BD42" s="57"/>
      <c r="BE42" s="57"/>
      <c r="BF42" s="52"/>
      <c r="BG42" s="57"/>
      <c r="BH42" s="57"/>
      <c r="BI42" s="57"/>
      <c r="BJ42" s="57"/>
      <c r="BK42" s="57"/>
      <c r="BL42" s="57"/>
      <c r="BM42" s="52"/>
      <c r="BN42" s="57"/>
      <c r="BO42" s="57"/>
      <c r="BP42" s="57"/>
      <c r="BQ42" s="57"/>
      <c r="BR42" s="57"/>
      <c r="BS42" s="57"/>
      <c r="BT42" s="52"/>
      <c r="BU42" s="57"/>
      <c r="BV42" s="57"/>
      <c r="BW42" s="57"/>
      <c r="BX42" s="57"/>
      <c r="BY42" s="57"/>
      <c r="BZ42" s="57"/>
      <c r="CA42" s="52"/>
      <c r="CB42" s="57"/>
      <c r="CC42" s="57"/>
      <c r="CD42" s="57"/>
      <c r="CE42" s="57"/>
      <c r="CF42" s="57"/>
      <c r="CG42" s="57"/>
      <c r="CH42" s="63"/>
      <c r="CI42" s="49"/>
    </row>
    <row r="43" spans="1:90" ht="11.25" customHeight="1" x14ac:dyDescent="0.15">
      <c r="A43" s="108"/>
      <c r="B43" s="110"/>
      <c r="C43" s="107"/>
      <c r="D43" s="110"/>
      <c r="E43" s="107"/>
      <c r="F43" s="110"/>
      <c r="G43" s="107"/>
      <c r="H43" s="110"/>
      <c r="I43" s="107"/>
      <c r="J43" s="110"/>
      <c r="K43" s="107"/>
      <c r="L43" s="110"/>
      <c r="M43" s="107"/>
      <c r="N43" s="110"/>
      <c r="O43" s="107"/>
      <c r="P43" s="110"/>
      <c r="Q43" s="107"/>
      <c r="R43" s="110"/>
      <c r="S43" s="107"/>
      <c r="T43" s="110"/>
      <c r="U43" s="107"/>
      <c r="V43" s="110"/>
      <c r="W43" s="107"/>
      <c r="X43" s="110"/>
      <c r="Y43" s="107"/>
      <c r="Z43" s="110"/>
      <c r="AA43" s="107"/>
      <c r="AB43" s="110"/>
      <c r="AC43" s="107"/>
      <c r="AD43" s="110"/>
      <c r="AE43" s="168"/>
      <c r="AF43" s="53" t="s">
        <v>62</v>
      </c>
      <c r="AG43" s="52"/>
      <c r="AH43" s="52"/>
      <c r="AI43" s="52"/>
      <c r="AJ43" s="52"/>
      <c r="AK43" s="52"/>
      <c r="AL43" s="52"/>
      <c r="AM43" s="52"/>
      <c r="AN43" s="52"/>
      <c r="AO43" s="53"/>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63"/>
      <c r="CI43" s="49"/>
    </row>
    <row r="44" spans="1:90" ht="11.25" customHeight="1" x14ac:dyDescent="0.15">
      <c r="A44" s="71" t="s">
        <v>94</v>
      </c>
      <c r="B44" s="117" t="s">
        <v>93</v>
      </c>
      <c r="C44" s="117"/>
      <c r="D44" s="117"/>
      <c r="E44" s="117"/>
      <c r="F44" s="117"/>
      <c r="G44" s="117"/>
      <c r="H44" s="113">
        <f>IF(SUM(B32:B42,D32:D42,F32:F42,H32)&gt;=H27,H27,ROUNDDOWN(SUM(B32:B42,D32:D42,F32:F42,H32),-2))</f>
        <v>0</v>
      </c>
      <c r="I44" s="119" t="s">
        <v>18</v>
      </c>
      <c r="J44" s="117" t="s">
        <v>95</v>
      </c>
      <c r="K44" s="117"/>
      <c r="L44" s="117"/>
      <c r="M44" s="117"/>
      <c r="N44" s="117"/>
      <c r="O44" s="117"/>
      <c r="P44" s="113">
        <f>IF(SUM(J32:J42,L32:L42,N32:N42,P32)&gt;=P27,P27,ROUNDDOWN(SUM(J32:J42,L32:L42,N32:N42,P32),-2))</f>
        <v>0</v>
      </c>
      <c r="Q44" s="119" t="s">
        <v>18</v>
      </c>
      <c r="R44" s="117" t="s">
        <v>96</v>
      </c>
      <c r="S44" s="117"/>
      <c r="T44" s="117"/>
      <c r="U44" s="117"/>
      <c r="V44" s="117"/>
      <c r="W44" s="117"/>
      <c r="X44" s="113">
        <f>IF(SUM(R32:R42,T32:T42,V32:V42,X32)&gt;=X27,X27,ROUNDDOWN(SUM(R32:R42,T32:T42,V32:V42,X32),-2))</f>
        <v>0</v>
      </c>
      <c r="Y44" s="119" t="s">
        <v>18</v>
      </c>
      <c r="Z44" s="169" t="s">
        <v>150</v>
      </c>
      <c r="AA44" s="170"/>
      <c r="AB44" s="170"/>
      <c r="AC44" s="171"/>
      <c r="AD44" s="113">
        <f>IF(SUM(Z32:Z42,AB32:AB42,AD32)&gt;=AD27,AD27,ROUNDDOWN(SUM(Z32:Z42,AB32:AB42,AD32),-2))</f>
        <v>0</v>
      </c>
      <c r="AE44" s="175" t="s">
        <v>18</v>
      </c>
      <c r="AF44" s="52"/>
      <c r="AG44" s="52"/>
      <c r="AH44" s="52"/>
      <c r="AI44" s="52"/>
      <c r="AJ44" s="52"/>
      <c r="AK44" s="52"/>
      <c r="AL44" s="52"/>
      <c r="AM44" s="52"/>
      <c r="AN44" s="52"/>
      <c r="AO44" s="52"/>
      <c r="AP44" s="52"/>
      <c r="AQ44" s="53" t="s">
        <v>80</v>
      </c>
      <c r="AR44" s="53" t="s">
        <v>44</v>
      </c>
      <c r="AS44" s="57">
        <f>IF($AK$4&lt;&gt;0,AS$4,0)</f>
        <v>0</v>
      </c>
      <c r="AT44" s="52"/>
      <c r="AU44" s="52"/>
      <c r="AV44" s="57">
        <f>IF(AV10=0,0,IF($AK$4&lt;&gt;0,AS$4,0))</f>
        <v>0</v>
      </c>
      <c r="AW44" s="52"/>
      <c r="AX44" s="52"/>
      <c r="AY44" s="52"/>
      <c r="AZ44" s="57">
        <f>IF($AK$5&lt;&gt;0,AZ$4,0)</f>
        <v>0</v>
      </c>
      <c r="BA44" s="52"/>
      <c r="BB44" s="52"/>
      <c r="BC44" s="57">
        <f>IF(BC10=0,0,IF($AK$4&lt;&gt;0,AZ$4,0))</f>
        <v>0</v>
      </c>
      <c r="BD44" s="52"/>
      <c r="BE44" s="52"/>
      <c r="BF44" s="52"/>
      <c r="BG44" s="57">
        <f>IF($AK$6&lt;&gt;0,BG$4,0)</f>
        <v>0</v>
      </c>
      <c r="BH44" s="52"/>
      <c r="BI44" s="52"/>
      <c r="BJ44" s="57">
        <f>IF(BJ10=0,0,IF($AK$6&lt;&gt;0,BG$4,0))</f>
        <v>0</v>
      </c>
      <c r="BK44" s="52"/>
      <c r="BL44" s="52"/>
      <c r="BM44" s="52"/>
      <c r="BN44" s="57">
        <f>IF($AK$7&lt;&gt;0,BN$4,0)</f>
        <v>0</v>
      </c>
      <c r="BO44" s="52"/>
      <c r="BP44" s="52"/>
      <c r="BQ44" s="57">
        <f>IF(BQ10=0,0,IF($AK$7&lt;&gt;0,BN$4,0))</f>
        <v>0</v>
      </c>
      <c r="BR44" s="52"/>
      <c r="BS44" s="52"/>
      <c r="BT44" s="52"/>
      <c r="BU44" s="57">
        <f>IF($AK$8&lt;&gt;0,BU$4,0)</f>
        <v>0</v>
      </c>
      <c r="BV44" s="52"/>
      <c r="BW44" s="52"/>
      <c r="BX44" s="57">
        <f>IF(BX10=0,0,IF($AK$8&lt;&gt;0,BU$4,0))</f>
        <v>0</v>
      </c>
      <c r="BY44" s="52"/>
      <c r="BZ44" s="52"/>
      <c r="CA44" s="52"/>
      <c r="CB44" s="57">
        <f>IF($AK$9&lt;&gt;0,CB$4,0)</f>
        <v>0</v>
      </c>
      <c r="CC44" s="52"/>
      <c r="CD44" s="52"/>
      <c r="CE44" s="57">
        <f>IF(CE10=0,0,IF($AK$9&lt;&gt;0,CB$4,0))</f>
        <v>0</v>
      </c>
      <c r="CF44" s="52"/>
      <c r="CG44" s="52"/>
      <c r="CH44" s="63"/>
      <c r="CI44" s="49"/>
    </row>
    <row r="45" spans="1:90" ht="11.25" customHeight="1" x14ac:dyDescent="0.15">
      <c r="A45" s="108"/>
      <c r="B45" s="118"/>
      <c r="C45" s="118"/>
      <c r="D45" s="118"/>
      <c r="E45" s="118"/>
      <c r="F45" s="118"/>
      <c r="G45" s="118"/>
      <c r="H45" s="114"/>
      <c r="I45" s="120"/>
      <c r="J45" s="118"/>
      <c r="K45" s="118"/>
      <c r="L45" s="118"/>
      <c r="M45" s="118"/>
      <c r="N45" s="118"/>
      <c r="O45" s="118"/>
      <c r="P45" s="114"/>
      <c r="Q45" s="120"/>
      <c r="R45" s="118"/>
      <c r="S45" s="118"/>
      <c r="T45" s="118"/>
      <c r="U45" s="118"/>
      <c r="V45" s="118"/>
      <c r="W45" s="118"/>
      <c r="X45" s="114"/>
      <c r="Y45" s="120"/>
      <c r="Z45" s="172"/>
      <c r="AA45" s="173"/>
      <c r="AB45" s="173"/>
      <c r="AC45" s="174"/>
      <c r="AD45" s="114"/>
      <c r="AE45" s="176"/>
      <c r="AF45" s="52"/>
      <c r="AG45" s="52"/>
      <c r="AH45" s="52"/>
      <c r="AI45" s="52"/>
      <c r="AJ45" s="52"/>
      <c r="AK45" s="52"/>
      <c r="AL45" s="52"/>
      <c r="AM45" s="52"/>
      <c r="AN45" s="52"/>
      <c r="AO45" s="52"/>
      <c r="AP45" s="52"/>
      <c r="AQ45" s="52"/>
      <c r="AR45" s="53" t="s">
        <v>46</v>
      </c>
      <c r="AS45" s="56">
        <f>IF(OR(AS44=0,AS5+AS10&lt;=0),0,IF(AS25=0,AS5+AS10,AS5+AS25))</f>
        <v>0</v>
      </c>
      <c r="AT45" s="52"/>
      <c r="AU45" s="52"/>
      <c r="AV45" s="56">
        <f>IF(OR(AV44=0,AV5+AV10&lt;=0),0,IF(AV25=0,AV5+AV10,AV5+AV25))</f>
        <v>0</v>
      </c>
      <c r="AW45" s="52"/>
      <c r="AX45" s="52"/>
      <c r="AY45" s="52"/>
      <c r="AZ45" s="56">
        <f>IF(OR(AZ44=0,AZ5+AZ10&lt;=0),0,IF(AZ25=0,AZ5+AZ10,AZ5+AZ25))</f>
        <v>0</v>
      </c>
      <c r="BA45" s="52"/>
      <c r="BB45" s="52"/>
      <c r="BC45" s="56">
        <f>IF(OR(BC44=0,BC5+BC10&lt;=0),0,IF(BC25=0,BC5+BC10,BC5+BC25))</f>
        <v>0</v>
      </c>
      <c r="BD45" s="52"/>
      <c r="BE45" s="52"/>
      <c r="BF45" s="52"/>
      <c r="BG45" s="56">
        <f>IF(OR(BG44=0,BG5+BG10&lt;=0),0,IF(BG25=0,BG5+BG10,BG5+BG25))</f>
        <v>0</v>
      </c>
      <c r="BH45" s="52"/>
      <c r="BI45" s="52"/>
      <c r="BJ45" s="56">
        <f>IF(OR(BJ44=0,BJ5+BJ10&lt;=0),0,IF(BJ25=0,BJ5+BJ10,BJ5+BJ25))</f>
        <v>0</v>
      </c>
      <c r="BK45" s="52"/>
      <c r="BL45" s="52"/>
      <c r="BM45" s="52"/>
      <c r="BN45" s="56">
        <f>IF(OR(BN44=0,BN5+BN10&lt;=0),0,IF(BN25=0,BN5+BN10,BN5+BN25))</f>
        <v>0</v>
      </c>
      <c r="BO45" s="52"/>
      <c r="BP45" s="52"/>
      <c r="BQ45" s="56">
        <f>IF(OR(BQ44=0,BQ5+BQ10&lt;=0),0,IF(BQ25=0,BQ5+BQ10,BQ5+BQ25))</f>
        <v>0</v>
      </c>
      <c r="BR45" s="52"/>
      <c r="BS45" s="52"/>
      <c r="BT45" s="52"/>
      <c r="BU45" s="56">
        <f>IF(OR(BU44=0,BU5+BU10&lt;=0),0,IF(BU25=0,BU5+BU10,BU5+BU25))</f>
        <v>0</v>
      </c>
      <c r="BV45" s="52"/>
      <c r="BW45" s="52"/>
      <c r="BX45" s="56">
        <f>IF(OR(BX44=0,BX5+BX10&lt;=0),0,IF(BX25=0,BX5+BX10,BX5+BX25))</f>
        <v>0</v>
      </c>
      <c r="BY45" s="52"/>
      <c r="BZ45" s="52"/>
      <c r="CA45" s="52"/>
      <c r="CB45" s="56">
        <f>IF(OR(CB44=0,CB5+CB10&lt;=0),0,IF(CB25=0,CB5+CB10,CB5+CB25))</f>
        <v>0</v>
      </c>
      <c r="CC45" s="52"/>
      <c r="CD45" s="52"/>
      <c r="CE45" s="56">
        <f>IF(OR(CE44=0,CE5+CE10&lt;=0),0,IF(CE25=0,CE5+CE10,CE5+CE25))</f>
        <v>0</v>
      </c>
      <c r="CF45" s="52"/>
      <c r="CG45" s="52"/>
      <c r="CH45" s="52"/>
      <c r="CI45" s="49"/>
    </row>
    <row r="46" spans="1:90" ht="12" customHeight="1" x14ac:dyDescent="0.15">
      <c r="A46" s="13"/>
      <c r="B46" s="14"/>
      <c r="C46" s="14"/>
      <c r="D46" s="14"/>
      <c r="E46" s="14"/>
      <c r="F46" s="14"/>
      <c r="G46" s="14"/>
      <c r="H46" s="15"/>
      <c r="I46" s="6"/>
      <c r="J46" s="14"/>
      <c r="K46" s="14"/>
      <c r="L46" s="14"/>
      <c r="M46" s="14"/>
      <c r="N46" s="14"/>
      <c r="O46" s="14"/>
      <c r="P46" s="15"/>
      <c r="Q46" s="6"/>
      <c r="R46" s="14"/>
      <c r="S46" s="14"/>
      <c r="T46" s="14"/>
      <c r="U46" s="14"/>
      <c r="V46" s="14"/>
      <c r="W46" s="14"/>
      <c r="X46" s="15"/>
      <c r="Y46" s="6"/>
      <c r="Z46" s="6"/>
      <c r="AA46" s="6"/>
      <c r="AF46" s="52"/>
      <c r="AG46" s="52"/>
      <c r="AH46" s="52"/>
      <c r="AI46" s="52"/>
      <c r="AJ46" s="52"/>
      <c r="AK46" s="52"/>
      <c r="AL46" s="52"/>
      <c r="AM46" s="52"/>
      <c r="AN46" s="52"/>
      <c r="AO46" s="52"/>
      <c r="AP46" s="65">
        <v>1100000</v>
      </c>
      <c r="AQ46" s="53"/>
      <c r="AR46" s="53"/>
      <c r="AS46" s="57">
        <f t="shared" ref="AS46:AX47" si="7">AS35</f>
        <v>0</v>
      </c>
      <c r="AT46" s="57">
        <f t="shared" si="7"/>
        <v>10000001</v>
      </c>
      <c r="AU46" s="57">
        <f t="shared" si="7"/>
        <v>20000001</v>
      </c>
      <c r="AV46" s="57">
        <f t="shared" si="7"/>
        <v>0</v>
      </c>
      <c r="AW46" s="57">
        <f t="shared" si="7"/>
        <v>10000001</v>
      </c>
      <c r="AX46" s="57">
        <f t="shared" si="7"/>
        <v>20000001</v>
      </c>
      <c r="AY46" s="57"/>
      <c r="AZ46" s="57">
        <f t="shared" ref="AZ46:BE47" si="8">AZ35</f>
        <v>0</v>
      </c>
      <c r="BA46" s="57">
        <f t="shared" si="8"/>
        <v>10000001</v>
      </c>
      <c r="BB46" s="57">
        <f t="shared" si="8"/>
        <v>20000001</v>
      </c>
      <c r="BC46" s="57">
        <f t="shared" si="8"/>
        <v>0</v>
      </c>
      <c r="BD46" s="57">
        <f t="shared" si="8"/>
        <v>10000001</v>
      </c>
      <c r="BE46" s="57">
        <f t="shared" si="8"/>
        <v>20000001</v>
      </c>
      <c r="BF46" s="52"/>
      <c r="BG46" s="57">
        <f t="shared" ref="BG46:BL47" si="9">BG35</f>
        <v>0</v>
      </c>
      <c r="BH46" s="57">
        <f t="shared" si="9"/>
        <v>10000001</v>
      </c>
      <c r="BI46" s="57">
        <f t="shared" si="9"/>
        <v>20000001</v>
      </c>
      <c r="BJ46" s="57">
        <f t="shared" si="9"/>
        <v>0</v>
      </c>
      <c r="BK46" s="57">
        <f t="shared" si="9"/>
        <v>10000001</v>
      </c>
      <c r="BL46" s="57">
        <f t="shared" si="9"/>
        <v>20000001</v>
      </c>
      <c r="BM46" s="52"/>
      <c r="BN46" s="57">
        <f t="shared" ref="BN46:BS47" si="10">BN35</f>
        <v>0</v>
      </c>
      <c r="BO46" s="57">
        <f t="shared" si="10"/>
        <v>10000001</v>
      </c>
      <c r="BP46" s="57">
        <f t="shared" si="10"/>
        <v>20000001</v>
      </c>
      <c r="BQ46" s="57">
        <f t="shared" si="10"/>
        <v>0</v>
      </c>
      <c r="BR46" s="57">
        <f t="shared" si="10"/>
        <v>10000001</v>
      </c>
      <c r="BS46" s="57">
        <f t="shared" si="10"/>
        <v>20000001</v>
      </c>
      <c r="BT46" s="52"/>
      <c r="BU46" s="57">
        <f t="shared" ref="BU46:BZ47" si="11">BU35</f>
        <v>0</v>
      </c>
      <c r="BV46" s="57">
        <f t="shared" si="11"/>
        <v>10000001</v>
      </c>
      <c r="BW46" s="57">
        <f t="shared" si="11"/>
        <v>20000001</v>
      </c>
      <c r="BX46" s="57">
        <f t="shared" si="11"/>
        <v>0</v>
      </c>
      <c r="BY46" s="57">
        <f t="shared" si="11"/>
        <v>10000001</v>
      </c>
      <c r="BZ46" s="57">
        <f t="shared" si="11"/>
        <v>20000001</v>
      </c>
      <c r="CA46" s="52"/>
      <c r="CB46" s="57">
        <f t="shared" ref="CB46:CG47" si="12">CB35</f>
        <v>0</v>
      </c>
      <c r="CC46" s="57">
        <f t="shared" si="12"/>
        <v>10000001</v>
      </c>
      <c r="CD46" s="57">
        <f t="shared" si="12"/>
        <v>20000001</v>
      </c>
      <c r="CE46" s="57">
        <f t="shared" si="12"/>
        <v>0</v>
      </c>
      <c r="CF46" s="57">
        <f t="shared" si="12"/>
        <v>10000001</v>
      </c>
      <c r="CG46" s="57">
        <f t="shared" si="12"/>
        <v>20000001</v>
      </c>
      <c r="CH46" s="52"/>
      <c r="CI46" s="49"/>
    </row>
    <row r="47" spans="1:90" ht="12" customHeight="1" thickBo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F47" s="52"/>
      <c r="AG47" s="52"/>
      <c r="AH47" s="52"/>
      <c r="AI47" s="52"/>
      <c r="AJ47" s="52"/>
      <c r="AK47" s="52"/>
      <c r="AL47" s="52"/>
      <c r="AM47" s="52"/>
      <c r="AN47" s="52"/>
      <c r="AO47" s="52"/>
      <c r="AP47" s="52"/>
      <c r="AQ47" s="53"/>
      <c r="AR47" s="53"/>
      <c r="AS47" s="57">
        <f t="shared" si="7"/>
        <v>10000000</v>
      </c>
      <c r="AT47" s="57">
        <f t="shared" si="7"/>
        <v>20000000</v>
      </c>
      <c r="AU47" s="57">
        <f t="shared" si="7"/>
        <v>0</v>
      </c>
      <c r="AV47" s="57">
        <f t="shared" si="7"/>
        <v>10000000</v>
      </c>
      <c r="AW47" s="57">
        <f t="shared" si="7"/>
        <v>20000000</v>
      </c>
      <c r="AX47" s="57">
        <f t="shared" si="7"/>
        <v>0</v>
      </c>
      <c r="AY47" s="57"/>
      <c r="AZ47" s="57">
        <f t="shared" si="8"/>
        <v>10000000</v>
      </c>
      <c r="BA47" s="57">
        <f t="shared" si="8"/>
        <v>20000000</v>
      </c>
      <c r="BB47" s="57">
        <f t="shared" si="8"/>
        <v>0</v>
      </c>
      <c r="BC47" s="57">
        <f t="shared" si="8"/>
        <v>10000000</v>
      </c>
      <c r="BD47" s="57">
        <f t="shared" si="8"/>
        <v>20000000</v>
      </c>
      <c r="BE47" s="57">
        <f t="shared" si="8"/>
        <v>0</v>
      </c>
      <c r="BF47" s="52"/>
      <c r="BG47" s="57">
        <f t="shared" si="9"/>
        <v>10000000</v>
      </c>
      <c r="BH47" s="57">
        <f t="shared" si="9"/>
        <v>20000000</v>
      </c>
      <c r="BI47" s="57">
        <f t="shared" si="9"/>
        <v>0</v>
      </c>
      <c r="BJ47" s="57">
        <f t="shared" si="9"/>
        <v>10000000</v>
      </c>
      <c r="BK47" s="57">
        <f t="shared" si="9"/>
        <v>20000000</v>
      </c>
      <c r="BL47" s="57">
        <f t="shared" si="9"/>
        <v>0</v>
      </c>
      <c r="BM47" s="52"/>
      <c r="BN47" s="57">
        <f t="shared" si="10"/>
        <v>10000000</v>
      </c>
      <c r="BO47" s="57">
        <f t="shared" si="10"/>
        <v>20000000</v>
      </c>
      <c r="BP47" s="57">
        <f t="shared" si="10"/>
        <v>0</v>
      </c>
      <c r="BQ47" s="57">
        <f t="shared" si="10"/>
        <v>10000000</v>
      </c>
      <c r="BR47" s="57">
        <f t="shared" si="10"/>
        <v>20000000</v>
      </c>
      <c r="BS47" s="57">
        <f t="shared" si="10"/>
        <v>0</v>
      </c>
      <c r="BT47" s="52"/>
      <c r="BU47" s="57">
        <f t="shared" si="11"/>
        <v>10000000</v>
      </c>
      <c r="BV47" s="57">
        <f t="shared" si="11"/>
        <v>20000000</v>
      </c>
      <c r="BW47" s="57">
        <f t="shared" si="11"/>
        <v>0</v>
      </c>
      <c r="BX47" s="57">
        <f t="shared" si="11"/>
        <v>10000000</v>
      </c>
      <c r="BY47" s="57">
        <f t="shared" si="11"/>
        <v>20000000</v>
      </c>
      <c r="BZ47" s="57">
        <f t="shared" si="11"/>
        <v>0</v>
      </c>
      <c r="CA47" s="52"/>
      <c r="CB47" s="57">
        <f t="shared" si="12"/>
        <v>10000000</v>
      </c>
      <c r="CC47" s="57">
        <f t="shared" si="12"/>
        <v>20000000</v>
      </c>
      <c r="CD47" s="57">
        <f t="shared" si="12"/>
        <v>0</v>
      </c>
      <c r="CE47" s="57">
        <f t="shared" si="12"/>
        <v>10000000</v>
      </c>
      <c r="CF47" s="57">
        <f t="shared" si="12"/>
        <v>20000000</v>
      </c>
      <c r="CG47" s="57">
        <f t="shared" si="12"/>
        <v>0</v>
      </c>
      <c r="CH47" s="52"/>
      <c r="CI47" s="49"/>
    </row>
    <row r="48" spans="1:90" ht="12" customHeight="1" thickTop="1" x14ac:dyDescent="0.15">
      <c r="A48" s="154" t="s">
        <v>153</v>
      </c>
      <c r="B48" s="155"/>
      <c r="C48" s="155"/>
      <c r="D48" s="155"/>
      <c r="E48" s="156"/>
      <c r="F48" s="160">
        <f>H44+P44+X44+AD44</f>
        <v>0</v>
      </c>
      <c r="G48" s="162" t="s">
        <v>88</v>
      </c>
      <c r="H48" s="148" t="str">
        <f>IF(AND(B10=$AG$38,B13=$AG$38,B15=$AG$38,B17=$AG$38,B19=$AG$38,B21=$AG$38)," ",SUM(IF(B10=$AG$39,1,0),IF(B13=$AG$39,1,0),IF(B15=$AG$39,1,0),IF(B17=$AG$39,1,0),IF(B19=$AG$39,1,0),IF(B21=$AG$39,1,0)))</f>
        <v xml:space="preserve"> </v>
      </c>
      <c r="I48" s="149"/>
      <c r="J48" s="165">
        <f>A1</f>
        <v>8</v>
      </c>
      <c r="K48" s="165"/>
      <c r="L48" s="165"/>
      <c r="M48" s="165"/>
      <c r="N48" s="165"/>
      <c r="O48" s="165"/>
      <c r="P48" s="165"/>
      <c r="Q48" s="165"/>
      <c r="R48" s="6"/>
      <c r="S48" s="6"/>
      <c r="T48" s="6"/>
      <c r="U48" s="6"/>
      <c r="V48" s="6"/>
      <c r="W48" s="6"/>
      <c r="X48" s="6"/>
      <c r="Y48" s="6"/>
      <c r="Z48" s="6"/>
      <c r="AA48" s="6"/>
      <c r="AF48" s="52"/>
      <c r="AG48" s="52"/>
      <c r="AH48" s="52"/>
      <c r="AI48" s="52"/>
      <c r="AJ48" s="52"/>
      <c r="AK48" s="52"/>
      <c r="AL48" s="52"/>
      <c r="AM48" s="52"/>
      <c r="AN48" s="52"/>
      <c r="AO48" s="52"/>
      <c r="AP48" s="52"/>
      <c r="AQ48" s="57">
        <v>0</v>
      </c>
      <c r="AR48" s="57">
        <v>3300000</v>
      </c>
      <c r="AS48" s="57">
        <f>IF(AND($AQ48&lt;=AS44,AS44&lt;=$AR48,AS$35&lt;=AS45,AS45&lt;=AS$36),IF(AS44&gt;$AP$46,$AP$46,AS44),0)</f>
        <v>0</v>
      </c>
      <c r="AT48" s="57">
        <f>IF(AND($AQ48&lt;=AS44,AS44&lt;=$AR48,AS45&gt;=AT$35,AS45&lt;=AT$36),IF(AS44&gt;($AP$46-$AP$41),($AP$46-$AP$41),AS44),0)</f>
        <v>0</v>
      </c>
      <c r="AU48" s="57">
        <f>IF(AND($AQ48&lt;=AS44,AS44&lt;=$AR48,AS45&gt;=AU$35),IF(AS44&gt;($AP$46-$AP$41*2),($AP$46-$AP$41*2),AS44),0)</f>
        <v>0</v>
      </c>
      <c r="AV48" s="57">
        <f>IF(AND($AQ48&lt;=AV44,AV44&lt;=$AR48,AV$35&lt;=AV45,AV45&lt;=AV$36),IF(AV44&gt;$AP$46,$AP$46,AV44),0)</f>
        <v>0</v>
      </c>
      <c r="AW48" s="57">
        <f>IF(AND($AQ48&lt;=AV44,AV44&lt;=$AR48,AV45&gt;=AW$35,AV45&lt;=AW$36),IF(AV44&gt;($AP$46-$AP$41),($AP$46-$AP$41),AV44),0)</f>
        <v>0</v>
      </c>
      <c r="AX48" s="57">
        <f>IF(AND($AQ48&lt;=AV44,AV44&lt;=$AR48,AV45&gt;=AX$35),IF(AV44&gt;($AP$46-$AP$41*2),($AP$46-$AP$41*2),AV44),0)</f>
        <v>0</v>
      </c>
      <c r="AY48" s="57"/>
      <c r="AZ48" s="57">
        <f>IF(AND($AQ48&lt;=AZ44,AZ44&lt;=$AR48,AZ$35&lt;=AZ45,AZ45&lt;=AZ$36),IF(AZ44&gt;$AP$46,$AP$46,AZ44),0)</f>
        <v>0</v>
      </c>
      <c r="BA48" s="57">
        <f>IF(AND($AQ48&lt;=AZ44,AZ44&lt;=$AR48,AZ45&gt;=BA$35,AZ45&lt;=BA$36),IF(AZ44&gt;($AP$46-$AP$41),($AP$46-$AP$41),AZ44),0)</f>
        <v>0</v>
      </c>
      <c r="BB48" s="57">
        <f>IF(AND($AQ48&lt;=AZ44,AZ44&lt;=$AR48,AZ45&gt;=BB$35),IF(AZ44&gt;($AP$46-$AP$41*2),($AP$46-$AP$41*2),AZ44),0)</f>
        <v>0</v>
      </c>
      <c r="BC48" s="57">
        <f>IF(AND($AQ48&lt;=BC44,BC44&lt;=$AR48,BC$35&lt;=BC45,BC45&lt;=BC$36),IF(BC44&gt;$AP$46,$AP$46,BC44),0)</f>
        <v>0</v>
      </c>
      <c r="BD48" s="57">
        <f>IF(AND($AQ48&lt;=BC44,BC44&lt;=$AR48,BC45&gt;=BD$35,BC45&lt;=BD$36),IF(BC44&gt;($AP$46-$AP$41),($AP$46-$AP$41),BC44),0)</f>
        <v>0</v>
      </c>
      <c r="BE48" s="57">
        <f>IF(AND($AQ48&lt;=BC44,BC44&lt;=$AR48,BC45&gt;=BE$35),IF(BC44&gt;($AP$46-$AP$41*2),($AP$46-$AP$41*2),BC44),0)</f>
        <v>0</v>
      </c>
      <c r="BF48" s="52"/>
      <c r="BG48" s="57">
        <f>IF(AND($AQ48&lt;=BG44,BG44&lt;=$AR48,BG$35&lt;=BG45,BG45&lt;=BG$36),IF(BG44&gt;$AP$46,$AP$46,BG44),0)</f>
        <v>0</v>
      </c>
      <c r="BH48" s="57">
        <f>IF(AND($AQ48&lt;=BG44,BG44&lt;=$AR48,BG45&gt;=BH$35,BG45&lt;=BH$36),IF(BG44&gt;($AP$46-$AP$41),($AP$46-$AP$41),BG44),0)</f>
        <v>0</v>
      </c>
      <c r="BI48" s="57">
        <f>IF(AND($AQ48&lt;=BG44,BG44&lt;=$AR48,BG45&gt;=BI$35),IF(BG44&gt;($AP$46-$AP$41*2),($AP$46-$AP$41*2),BG44),0)</f>
        <v>0</v>
      </c>
      <c r="BJ48" s="57">
        <f>IF(AND($AQ48&lt;=BJ44,BJ44&lt;=$AR48,BJ$35&lt;=BJ45,BJ45&lt;=BJ$36),IF(BJ44&gt;$AP$46,$AP$46,BJ44),0)</f>
        <v>0</v>
      </c>
      <c r="BK48" s="57">
        <f>IF(AND($AQ48&lt;=BJ44,BJ44&lt;=$AR48,BJ45&gt;=BK$35,BJ45&lt;=BK$36),IF(BJ44&gt;($AP$46-$AP$41),($AP$46-$AP$41),BJ44),0)</f>
        <v>0</v>
      </c>
      <c r="BL48" s="57">
        <f>IF(AND($AQ48&lt;=BJ44,BJ44&lt;=$AR48,BJ45&gt;=BL$35),IF(BJ44&gt;($AP$46-$AP$41*2),($AP$46-$AP$41*2),BJ44),0)</f>
        <v>0</v>
      </c>
      <c r="BM48" s="52"/>
      <c r="BN48" s="57">
        <f>IF(AND($AQ48&lt;=BN44,BN44&lt;=$AR48,BN$35&lt;=BN45,BN45&lt;=BN$36),IF(BN44&gt;$AP$46,$AP$46,BN44),0)</f>
        <v>0</v>
      </c>
      <c r="BO48" s="57">
        <f>IF(AND($AQ48&lt;=BN44,BN44&lt;=$AR48,BN45&gt;=BO$35,BN45&lt;=BO$36),IF(BN44&gt;($AP$46-$AP$41),($AP$46-$AP$41),BN44),0)</f>
        <v>0</v>
      </c>
      <c r="BP48" s="57">
        <f>IF(AND($AQ48&lt;=BN44,BN44&lt;=$AR48,BN45&gt;=BP$35),IF(BN44&gt;($AP$46-$AP$41*2),($AP$46-$AP$41*2),BN44),0)</f>
        <v>0</v>
      </c>
      <c r="BQ48" s="57">
        <f>IF(AND($AQ48&lt;=BQ44,BQ44&lt;=$AR48,BQ$35&lt;=BQ45,BQ45&lt;=BQ$36),IF(BQ44&gt;$AP$46,$AP$46,BQ44),0)</f>
        <v>0</v>
      </c>
      <c r="BR48" s="57">
        <f>IF(AND($AQ48&lt;=BQ44,BQ44&lt;=$AR48,BQ45&gt;=BR$35,BQ45&lt;=BR$36),IF(BQ44&gt;($AP$46-$AP$41),($AP$46-$AP$41),BQ44),0)</f>
        <v>0</v>
      </c>
      <c r="BS48" s="57">
        <f>IF(AND($AQ48&lt;=BQ44,BQ44&lt;=$AR48,BQ45&gt;=BS$35),IF(BQ44&gt;($AP$46-$AP$41*2),($AP$46-$AP$41*2),BQ44),0)</f>
        <v>0</v>
      </c>
      <c r="BT48" s="52"/>
      <c r="BU48" s="57">
        <f>IF(AND($AQ48&lt;=BU44,BU44&lt;=$AR48,BU$35&lt;=BU45,BU45&lt;=BU$36),IF(BU44&gt;$AP$46,$AP$46,BU44),0)</f>
        <v>0</v>
      </c>
      <c r="BV48" s="57">
        <f>IF(AND($AQ48&lt;=BU44,BU44&lt;=$AR48,BU45&gt;=BV$35,BU45&lt;=BV$36),IF(BU44&gt;($AP$46-$AP$41),($AP$46-$AP$41),BU44),0)</f>
        <v>0</v>
      </c>
      <c r="BW48" s="57">
        <f>IF(AND($AQ48&lt;=BU44,BU44&lt;=$AR48,BU45&gt;=BW$35),IF(BU44&gt;($AP$46-$AP$41*2),($AP$46-$AP$41*2),BU44),0)</f>
        <v>0</v>
      </c>
      <c r="BX48" s="57">
        <f>IF(AND($AQ48&lt;=BX44,BX44&lt;=$AR48,BX$35&lt;=BX45,BX45&lt;=BX$36),IF(BX44&gt;$AP$46,$AP$46,BX44),0)</f>
        <v>0</v>
      </c>
      <c r="BY48" s="57">
        <f>IF(AND($AQ48&lt;=BX44,BX44&lt;=$AR48,BX45&gt;=BY$35,BX45&lt;=BY$36),IF(BX44&gt;($AP$46-$AP$41),($AP$46-$AP$41),BX44),0)</f>
        <v>0</v>
      </c>
      <c r="BZ48" s="57">
        <f>IF(AND($AQ48&lt;=BX44,BX44&lt;=$AR48,BX45&gt;=BZ$35),IF(BX44&gt;($AP$46-$AP$41*2),($AP$46-$AP$41*2),BX44),0)</f>
        <v>0</v>
      </c>
      <c r="CA48" s="52"/>
      <c r="CB48" s="57">
        <f>IF(AND($AQ48&lt;=CB44,CB44&lt;=$AR48,CB$35&lt;=CB45,CB45&lt;=CB$36),IF(CB44&gt;$AP$46,$AP$46,CB44),0)</f>
        <v>0</v>
      </c>
      <c r="CC48" s="57">
        <f>IF(AND($AQ48&lt;=CB44,CB44&lt;=$AR48,CB45&gt;=CC$35,CB45&lt;=CC$36),IF(CB44&gt;($AP$46-$AP$41),($AP$46-$AP$41),CB44),0)</f>
        <v>0</v>
      </c>
      <c r="CD48" s="57">
        <f>IF(AND($AQ48&lt;=CB44,CB44&lt;=$AR48,CB45&gt;=CD$35),IF(CB44&gt;($AP$46-$AP$41*2),($AP$46-$AP$41*2),CB44),0)</f>
        <v>0</v>
      </c>
      <c r="CE48" s="57">
        <f>IF(AND($AQ48&lt;=CE44,CE44&lt;=$AR48,CE$35&lt;=CE45,CE45&lt;=CE$36),IF(CE44&gt;$AP$46,$AP$46,CE44),0)</f>
        <v>0</v>
      </c>
      <c r="CF48" s="57">
        <f>IF(AND($AQ48&lt;=CE44,CE44&lt;=$AR48,CE45&gt;=CF$35,CE45&lt;=CF$36),IF(CE44&gt;($AP$46-$AP$41),($AP$46-$AP$41),CE44),0)</f>
        <v>0</v>
      </c>
      <c r="CG48" s="57">
        <f>IF(AND($AQ48&lt;=CE44,CE44&lt;=$AR48,CE45&gt;=CG$35),IF(CE44&gt;($AP$46-$AP$41*2),($AP$46-$AP$41*2),CE44),0)</f>
        <v>0</v>
      </c>
      <c r="CH48" s="52"/>
      <c r="CI48" s="49"/>
      <c r="CJ48" s="49"/>
      <c r="CK48" s="49"/>
      <c r="CL48" s="49"/>
    </row>
    <row r="49" spans="1:99" ht="12" customHeight="1" thickBot="1" x14ac:dyDescent="0.2">
      <c r="A49" s="157"/>
      <c r="B49" s="158"/>
      <c r="C49" s="158"/>
      <c r="D49" s="158"/>
      <c r="E49" s="159"/>
      <c r="F49" s="161"/>
      <c r="G49" s="163"/>
      <c r="H49" s="148"/>
      <c r="I49" s="149"/>
      <c r="J49" s="165"/>
      <c r="K49" s="165"/>
      <c r="L49" s="165"/>
      <c r="M49" s="165"/>
      <c r="N49" s="165"/>
      <c r="O49" s="165"/>
      <c r="P49" s="165"/>
      <c r="Q49" s="165"/>
      <c r="R49" s="6"/>
      <c r="S49" s="6"/>
      <c r="T49" s="6"/>
      <c r="U49" s="6"/>
      <c r="V49" s="6"/>
      <c r="W49" s="6"/>
      <c r="X49" s="6"/>
      <c r="Y49" s="6"/>
      <c r="Z49" s="6"/>
      <c r="AA49" s="6"/>
      <c r="AF49" s="52"/>
      <c r="AG49" s="52"/>
      <c r="AH49" s="52"/>
      <c r="AI49" s="52"/>
      <c r="AJ49" s="52"/>
      <c r="AK49" s="52"/>
      <c r="AL49" s="52"/>
      <c r="AM49" s="52"/>
      <c r="AN49" s="52"/>
      <c r="AO49" s="52"/>
      <c r="AP49" s="52"/>
      <c r="AQ49" s="57">
        <f>AR48+1</f>
        <v>3300001</v>
      </c>
      <c r="AR49" s="57">
        <v>4100000</v>
      </c>
      <c r="AS49" s="57">
        <f>IF(AND($AQ49&lt;=AS44,AS44&lt;=$AR49,AS$35&lt;=AS45,AS45&lt;=AS$36),AS44*$AP$32+$AP$37,0)</f>
        <v>0</v>
      </c>
      <c r="AT49" s="57">
        <f>IF(AND($AQ49&lt;=AS44,AS44&lt;=$AR49,AS45&gt;=AT$35,AS45&lt;=AT$36),AS44*$AP$32+$AP$37-$AP$41,0)</f>
        <v>0</v>
      </c>
      <c r="AU49" s="57">
        <f>IF(AND($AQ49&lt;=AS44,AS44&lt;=$AR49,AS45&gt;=AU$35),AS44*$AP$32+$AP$37-$AP$41*2,0)</f>
        <v>0</v>
      </c>
      <c r="AV49" s="57">
        <f>IF(AND($AQ49&lt;=AV44,AV44&lt;=$AR49,AV$35&lt;=AV45,AV45&lt;=AV$36),AV44*$AP$32+$AP$37,0)</f>
        <v>0</v>
      </c>
      <c r="AW49" s="57">
        <f>IF(AND($AQ49&lt;=AV44,AV44&lt;=$AR49,AV45&gt;=AW$35,AV45&lt;=AW$36),AV44*$AP$32+$AP$37-$AP$41,0)</f>
        <v>0</v>
      </c>
      <c r="AX49" s="57">
        <f>IF(AND($AQ49&lt;=AV44,AV44&lt;=$AR49,AV45&gt;=AX$35),AV44*$AP$32+$AP$37-$AP$41*2,0)</f>
        <v>0</v>
      </c>
      <c r="AY49" s="57"/>
      <c r="AZ49" s="57">
        <f>IF(AND($AQ49&lt;=AZ44,AZ44&lt;=$AR49,AZ$35&lt;=AZ45,AZ45&lt;=AZ$36),AZ44*$AP$32+$AP$37,0)</f>
        <v>0</v>
      </c>
      <c r="BA49" s="57">
        <f>IF(AND($AQ49&lt;=AZ44,AZ44&lt;=$AR49,AZ45&gt;=BA$35,AZ45&lt;=BA$36),AZ44*$AP$32+$AP$37-$AP$41,0)</f>
        <v>0</v>
      </c>
      <c r="BB49" s="57">
        <f>IF(AND($AQ49&lt;=AZ44,AZ44&lt;=$AR49,AZ45&gt;=BB$35),AZ44*$AP$32+$AP$37-$AP$41*2,0)</f>
        <v>0</v>
      </c>
      <c r="BC49" s="57">
        <f>IF(AND($AQ49&lt;=BC44,BC44&lt;=$AR49,BC$35&lt;=BC45,BC45&lt;=BC$36),BC44*$AP$32+$AP$37,0)</f>
        <v>0</v>
      </c>
      <c r="BD49" s="57">
        <f>IF(AND($AQ49&lt;=BC44,BC44&lt;=$AR49,BC45&gt;=BD$35,BC45&lt;=BD$36),BC44*$AP$32+$AP$37-$AP$41,0)</f>
        <v>0</v>
      </c>
      <c r="BE49" s="57">
        <f>IF(AND($AQ49&lt;=BC44,BC44&lt;=$AR49,BC45&gt;=BE$35),BC44*$AP$32+$AP$37-$AP$41*2,0)</f>
        <v>0</v>
      </c>
      <c r="BF49" s="52"/>
      <c r="BG49" s="57">
        <f>IF(AND($AQ49&lt;=BG44,BG44&lt;=$AR49,BG$35&lt;=BG45,BG45&lt;=BG$36),BG44*$AP$32+$AP$37,0)</f>
        <v>0</v>
      </c>
      <c r="BH49" s="57">
        <f>IF(AND($AQ49&lt;=BG44,BG44&lt;=$AR49,BG45&gt;=BH$35,BG45&lt;=BH$36),BG44*$AP$32+$AP$37-$AP$41,0)</f>
        <v>0</v>
      </c>
      <c r="BI49" s="57">
        <f>IF(AND($AQ49&lt;=BG44,BG44&lt;=$AR49,BG45&gt;=BI$35),BG44*$AP$32+$AP$37-$AP$41*2,0)</f>
        <v>0</v>
      </c>
      <c r="BJ49" s="57">
        <f>IF(AND($AQ49&lt;=BJ44,BJ44&lt;=$AR49,BJ$35&lt;=BJ45,BJ45&lt;=BJ$36),BJ44*$AP$32+$AP$37,0)</f>
        <v>0</v>
      </c>
      <c r="BK49" s="57">
        <f>IF(AND($AQ49&lt;=BJ44,BJ44&lt;=$AR49,BJ45&gt;=BK$35,BJ45&lt;=BK$36),BJ44*$AP$32+$AP$37-$AP$41,0)</f>
        <v>0</v>
      </c>
      <c r="BL49" s="57">
        <f>IF(AND($AQ49&lt;=BJ44,BJ44&lt;=$AR49,BJ45&gt;=BL$35),BJ44*$AP$32+$AP$37-$AP$41*2,0)</f>
        <v>0</v>
      </c>
      <c r="BM49" s="52"/>
      <c r="BN49" s="57">
        <f>IF(AND($AQ49&lt;=BN44,BN44&lt;=$AR49,BN$35&lt;=BN45,BN45&lt;=BN$36),BN44*$AP$32+$AP$37,0)</f>
        <v>0</v>
      </c>
      <c r="BO49" s="57">
        <f>IF(AND($AQ49&lt;=BN44,BN44&lt;=$AR49,BN45&gt;=BO$35,BN45&lt;=BO$36),BN44*$AP$32+$AP$37-$AP$41,0)</f>
        <v>0</v>
      </c>
      <c r="BP49" s="57">
        <f>IF(AND($AQ49&lt;=BN44,BN44&lt;=$AR49,BN45&gt;=BP$35),BN44*$AP$32+$AP$37-$AP$41*2,0)</f>
        <v>0</v>
      </c>
      <c r="BQ49" s="57">
        <f>IF(AND($AQ49&lt;=BQ44,BQ44&lt;=$AR49,BQ$35&lt;=BQ45,BQ45&lt;=BQ$36),BQ44*$AP$32+$AP$37,0)</f>
        <v>0</v>
      </c>
      <c r="BR49" s="57">
        <f>IF(AND($AQ49&lt;=BQ44,BQ44&lt;=$AR49,BQ45&gt;=BR$35,BQ45&lt;=BR$36),BQ44*$AP$32+$AP$37-$AP$41,0)</f>
        <v>0</v>
      </c>
      <c r="BS49" s="57">
        <f>IF(AND($AQ49&lt;=BQ44,BQ44&lt;=$AR49,BQ45&gt;=BS$35),BQ44*$AP$32+$AP$37-$AP$41*2,0)</f>
        <v>0</v>
      </c>
      <c r="BT49" s="52"/>
      <c r="BU49" s="57">
        <f>IF(AND($AQ49&lt;=BU44,BU44&lt;=$AR49,BU$35&lt;=BU45,BU45&lt;=BU$36),BU44*$AP$32+$AP$37,0)</f>
        <v>0</v>
      </c>
      <c r="BV49" s="57">
        <f>IF(AND($AQ49&lt;=BU44,BU44&lt;=$AR49,BU45&gt;=BV$35,BU45&lt;=BV$36),BU44*$AP$32+$AP$37-$AP$41,0)</f>
        <v>0</v>
      </c>
      <c r="BW49" s="57">
        <f>IF(AND($AQ49&lt;=BU44,BU44&lt;=$AR49,BU45&gt;=BW$35),BU44*$AP$32+$AP$37-$AP$41*2,0)</f>
        <v>0</v>
      </c>
      <c r="BX49" s="57">
        <f>IF(AND($AQ49&lt;=BX44,BX44&lt;=$AR49,BX$35&lt;=BX45,BX45&lt;=BX$36),BX44*$AP$32+$AP$37,0)</f>
        <v>0</v>
      </c>
      <c r="BY49" s="57">
        <f>IF(AND($AQ49&lt;=BX44,BX44&lt;=$AR49,BX45&gt;=BY$35,BX45&lt;=BY$36),BX44*$AP$32+$AP$37-$AP$41,0)</f>
        <v>0</v>
      </c>
      <c r="BZ49" s="57">
        <f>IF(AND($AQ49&lt;=BX44,BX44&lt;=$AR49,BX45&gt;=BZ$35),BX44*$AP$32+$AP$37-$AP$41*2,0)</f>
        <v>0</v>
      </c>
      <c r="CA49" s="52"/>
      <c r="CB49" s="57">
        <f>IF(AND($AQ49&lt;=CB44,CB44&lt;=$AR49,CB$35&lt;=CB45,CB45&lt;=CB$36),CB44*$AP$32+$AP$37,0)</f>
        <v>0</v>
      </c>
      <c r="CC49" s="57">
        <f>IF(AND($AQ49&lt;=CB44,CB44&lt;=$AR49,CB45&gt;=CC$35,CB45&lt;=CC$36),CB44*$AP$32+$AP$37-$AP$41,0)</f>
        <v>0</v>
      </c>
      <c r="CD49" s="57">
        <f>IF(AND($AQ49&lt;=CB44,CB44&lt;=$AR49,CB45&gt;=CD$35),CB44*$AP$32+$AP$37-$AP$41*2,0)</f>
        <v>0</v>
      </c>
      <c r="CE49" s="57">
        <f>IF(AND($AQ49&lt;=CE44,CE44&lt;=$AR49,CE$35&lt;=CE45,CE45&lt;=CE$36),CE44*$AP$32+$AP$37,0)</f>
        <v>0</v>
      </c>
      <c r="CF49" s="57">
        <f>IF(AND($AQ49&lt;=CE44,CE44&lt;=$AR49,CE45&gt;=CF$35,CE45&lt;=CF$36),CE44*$AP$32+$AP$37-$AP$41,0)</f>
        <v>0</v>
      </c>
      <c r="CG49" s="57">
        <f>IF(AND($AQ49&lt;=CE44,CE44&lt;=$AR49,CE45&gt;=CG$35),CE44*$AP$32+$AP$37-$AP$41*2,0)</f>
        <v>0</v>
      </c>
      <c r="CH49" s="52"/>
      <c r="CI49" s="49"/>
      <c r="CJ49" s="49"/>
      <c r="CK49" s="49"/>
      <c r="CL49" s="49"/>
    </row>
    <row r="50" spans="1:99" ht="12" customHeight="1" thickTop="1" x14ac:dyDescent="0.15">
      <c r="A50" s="121" t="s">
        <v>97</v>
      </c>
      <c r="B50" s="122"/>
      <c r="C50" s="122"/>
      <c r="D50" s="122"/>
      <c r="E50" s="128"/>
      <c r="F50" s="164">
        <f>ROUNDDOWN(F48/12,0)</f>
        <v>0</v>
      </c>
      <c r="G50" s="112" t="s">
        <v>88</v>
      </c>
      <c r="H50" s="6"/>
      <c r="I50" s="6"/>
      <c r="J50" s="6"/>
      <c r="K50" s="6"/>
      <c r="L50" s="6"/>
      <c r="M50" s="6"/>
      <c r="N50" s="6"/>
      <c r="O50" s="6"/>
      <c r="P50" s="6"/>
      <c r="Q50" s="6"/>
      <c r="R50" s="6"/>
      <c r="S50" s="6"/>
      <c r="T50" s="6"/>
      <c r="U50" s="6"/>
      <c r="V50" s="6"/>
      <c r="W50" s="6"/>
      <c r="X50" s="6"/>
      <c r="Y50" s="6"/>
      <c r="Z50" s="6"/>
      <c r="AA50" s="6"/>
      <c r="AF50" s="52"/>
      <c r="AG50" s="52"/>
      <c r="AH50" s="52"/>
      <c r="AI50" s="52"/>
      <c r="AJ50" s="52"/>
      <c r="AK50" s="52"/>
      <c r="AL50" s="52"/>
      <c r="AM50" s="52"/>
      <c r="AN50" s="52"/>
      <c r="AO50" s="53"/>
      <c r="AP50" s="52"/>
      <c r="AQ50" s="57">
        <f>AR49+1</f>
        <v>4100001</v>
      </c>
      <c r="AR50" s="57">
        <v>7700000</v>
      </c>
      <c r="AS50" s="57">
        <f>IF(AND($AQ50&lt;=AS44,AS44&lt;=$AR50,AS$35&lt;=AS45,AS45&lt;=AS$36),AS44*$AP$33+$AP$38,0)</f>
        <v>0</v>
      </c>
      <c r="AT50" s="57">
        <f>IF(AND($AQ50&lt;=AS44,AS44&lt;=$AR50,AS45&gt;=AT$35,AS45&lt;=AT$36),AS44*$AP$33+$AP$38-$AP$41,0)</f>
        <v>0</v>
      </c>
      <c r="AU50" s="57">
        <f>IF(AND($AQ50&lt;=AS44,AS44&lt;=$AR50,AS45&gt;=AU$35),AS44*$AP$33+$AP$38-$AP$41*2,0)</f>
        <v>0</v>
      </c>
      <c r="AV50" s="57">
        <f>IF(AND($AQ50&lt;=AV44,AV44&lt;=$AR50,AV$35&lt;=AV45,AV45&lt;=AV$36),AV44*$AP$33+$AP$38,0)</f>
        <v>0</v>
      </c>
      <c r="AW50" s="57">
        <f>IF(AND($AQ50&lt;=AV44,AV44&lt;=$AR50,AV45&gt;=AW$35,AV45&lt;=AW$36),AV44*$AP$33+$AP$38-$AP$41,0)</f>
        <v>0</v>
      </c>
      <c r="AX50" s="57">
        <f>IF(AND($AQ50&lt;=AV44,AV44&lt;=$AR50,AV45&gt;=AX$35),AV44*$AP$33+$AP$38-$AP$41*2,0)</f>
        <v>0</v>
      </c>
      <c r="AY50" s="57"/>
      <c r="AZ50" s="57">
        <f>IF(AND($AQ50&lt;=AZ44,AZ44&lt;=$AR50,AZ$35&lt;=AZ45,AZ45&lt;=AZ$36),AZ44*$AP$33+$AP$38,0)</f>
        <v>0</v>
      </c>
      <c r="BA50" s="57">
        <f>IF(AND($AQ50&lt;=AZ44,AZ44&lt;=$AR50,AZ45&gt;=BA$35,AZ45&lt;=BA$36),AZ44*$AP$33+$AP$38-$AP$41,0)</f>
        <v>0</v>
      </c>
      <c r="BB50" s="57">
        <f>IF(AND($AQ50&lt;=AZ44,AZ44&lt;=$AR50,AZ45&gt;=BB$35),AZ44*$AP$33+$AP$38-$AP$41*2,0)</f>
        <v>0</v>
      </c>
      <c r="BC50" s="57">
        <f>IF(AND($AQ50&lt;=BC44,BC44&lt;=$AR50,BC$35&lt;=BC45,BC45&lt;=BC$36),BC44*$AP$33+$AP$38,0)</f>
        <v>0</v>
      </c>
      <c r="BD50" s="57">
        <f>IF(AND($AQ50&lt;=BC44,BC44&lt;=$AR50,BC45&gt;=BD$35,BC45&lt;=BD$36),BC44*$AP$33+$AP$38-$AP$41,0)</f>
        <v>0</v>
      </c>
      <c r="BE50" s="57">
        <f>IF(AND($AQ50&lt;=BC44,BC44&lt;=$AR50,BC45&gt;=BE$35),BC44*$AP$33+$AP$38-$AP$41*2,0)</f>
        <v>0</v>
      </c>
      <c r="BF50" s="52"/>
      <c r="BG50" s="57">
        <f>IF(AND($AQ50&lt;=BG44,BG44&lt;=$AR50,BG$35&lt;=BG45,BG45&lt;=BG$36),BG44*$AP$33+$AP$38,0)</f>
        <v>0</v>
      </c>
      <c r="BH50" s="57">
        <f>IF(AND($AQ50&lt;=BG44,BG44&lt;=$AR50,BG45&gt;=BH$35,BG45&lt;=BH$36),BG44*$AP$33+$AP$38-$AP$41,0)</f>
        <v>0</v>
      </c>
      <c r="BI50" s="57">
        <f>IF(AND($AQ50&lt;=BG44,BG44&lt;=$AR50,BG45&gt;=BI$35),BG44*$AP$33+$AP$38-$AP$41*2,0)</f>
        <v>0</v>
      </c>
      <c r="BJ50" s="57">
        <f>IF(AND($AQ50&lt;=BJ44,BJ44&lt;=$AR50,BJ$35&lt;=BJ45,BJ45&lt;=BJ$36),BJ44*$AP$33+$AP$38,0)</f>
        <v>0</v>
      </c>
      <c r="BK50" s="57">
        <f>IF(AND($AQ50&lt;=BJ44,BJ44&lt;=$AR50,BJ45&gt;=BK$35,BJ45&lt;=BK$36),BJ44*$AP$33+$AP$38-$AP$41,0)</f>
        <v>0</v>
      </c>
      <c r="BL50" s="57">
        <f>IF(AND($AQ50&lt;=BJ44,BJ44&lt;=$AR50,BJ45&gt;=BL$35),BJ44*$AP$33+$AP$38-$AP$41*2,0)</f>
        <v>0</v>
      </c>
      <c r="BM50" s="52"/>
      <c r="BN50" s="57">
        <f>IF(AND($AQ50&lt;=BN44,BN44&lt;=$AR50,BN$35&lt;=BN45,BN45&lt;=BN$36),BN44*$AP$33+$AP$38,0)</f>
        <v>0</v>
      </c>
      <c r="BO50" s="57">
        <f>IF(AND($AQ50&lt;=BN44,BN44&lt;=$AR50,BN45&gt;=BO$35,BN45&lt;=BO$36),BN44*$AP$33+$AP$38-$AP$41,0)</f>
        <v>0</v>
      </c>
      <c r="BP50" s="57">
        <f>IF(AND($AQ50&lt;=BN44,BN44&lt;=$AR50,BN45&gt;=BP$35),BN44*$AP$33+$AP$38-$AP$41*2,0)</f>
        <v>0</v>
      </c>
      <c r="BQ50" s="57">
        <f>IF(AND($AQ50&lt;=BQ44,BQ44&lt;=$AR50,BQ$35&lt;=BQ45,BQ45&lt;=BQ$36),BQ44*$AP$33+$AP$38,0)</f>
        <v>0</v>
      </c>
      <c r="BR50" s="57">
        <f>IF(AND($AQ50&lt;=BQ44,BQ44&lt;=$AR50,BQ45&gt;=BR$35,BQ45&lt;=BR$36),BQ44*$AP$33+$AP$38-$AP$41,0)</f>
        <v>0</v>
      </c>
      <c r="BS50" s="57">
        <f>IF(AND($AQ50&lt;=BQ44,BQ44&lt;=$AR50,BQ45&gt;=BS$35),BQ44*$AP$33+$AP$38-$AP$41*2,0)</f>
        <v>0</v>
      </c>
      <c r="BT50" s="52"/>
      <c r="BU50" s="57">
        <f>IF(AND($AQ50&lt;=BU44,BU44&lt;=$AR50,BU$35&lt;=BU45,BU45&lt;=BU$36),BU44*$AP$33+$AP$38,0)</f>
        <v>0</v>
      </c>
      <c r="BV50" s="57">
        <f>IF(AND($AQ50&lt;=BU44,BU44&lt;=$AR50,BU45&gt;=BV$35,BU45&lt;=BV$36),BU44*$AP$33+$AP$38-$AP$41,0)</f>
        <v>0</v>
      </c>
      <c r="BW50" s="57">
        <f>IF(AND($AQ50&lt;=BU44,BU44&lt;=$AR50,BU45&gt;=BW$35),BU44*$AP$33+$AP$38-$AP$41*2,0)</f>
        <v>0</v>
      </c>
      <c r="BX50" s="57">
        <f>IF(AND($AQ50&lt;=BX44,BX44&lt;=$AR50,BX$35&lt;=BX45,BX45&lt;=BX$36),BX44*$AP$33+$AP$38,0)</f>
        <v>0</v>
      </c>
      <c r="BY50" s="57">
        <f>IF(AND($AQ50&lt;=BX44,BX44&lt;=$AR50,BX45&gt;=BY$35,BX45&lt;=BY$36),BX44*$AP$33+$AP$38-$AP$41,0)</f>
        <v>0</v>
      </c>
      <c r="BZ50" s="57">
        <f>IF(AND($AQ50&lt;=BX44,BX44&lt;=$AR50,BX45&gt;=BZ$35),BX44*$AP$33+$AP$38-$AP$41*2,0)</f>
        <v>0</v>
      </c>
      <c r="CA50" s="52"/>
      <c r="CB50" s="57">
        <f>IF(AND($AQ50&lt;=CB44,CB44&lt;=$AR50,CB$35&lt;=CB45,CB45&lt;=CB$36),CB44*$AP$33+$AP$38,0)</f>
        <v>0</v>
      </c>
      <c r="CC50" s="57">
        <f>IF(AND($AQ50&lt;=CB44,CB44&lt;=$AR50,CB45&gt;=CC$35,CB45&lt;=CC$36),CB44*$AP$33+$AP$38-$AP$41,0)</f>
        <v>0</v>
      </c>
      <c r="CD50" s="57">
        <f>IF(AND($AQ50&lt;=CB44,CB44&lt;=$AR50,CB45&gt;=CD$35),CB44*$AP$33+$AP$38-$AP$41*2,0)</f>
        <v>0</v>
      </c>
      <c r="CE50" s="57">
        <f>IF(AND($AQ50&lt;=CE44,CE44&lt;=$AR50,CE$35&lt;=CE45,CE45&lt;=CE$36),CE44*$AP$33+$AP$38,0)</f>
        <v>0</v>
      </c>
      <c r="CF50" s="57">
        <f>IF(AND($AQ50&lt;=CE44,CE44&lt;=$AR50,CE45&gt;=CF$35,CE45&lt;=CF$36),CE44*$AP$33+$AP$38-$AP$41,0)</f>
        <v>0</v>
      </c>
      <c r="CG50" s="57">
        <f>IF(AND($AQ50&lt;=CE44,CE44&lt;=$AR50,CE45&gt;=CG$35),CE44*$AP$33+$AP$38-$AP$41*2,0)</f>
        <v>0</v>
      </c>
      <c r="CH50" s="52"/>
      <c r="CM50" s="49"/>
      <c r="CN50" s="49"/>
      <c r="CO50" s="49"/>
      <c r="CP50" s="49"/>
      <c r="CQ50" s="49"/>
      <c r="CR50" s="49"/>
      <c r="CS50" s="49"/>
      <c r="CT50" s="3"/>
      <c r="CU50" s="3"/>
    </row>
    <row r="51" spans="1:99" ht="12" customHeight="1" x14ac:dyDescent="0.15">
      <c r="A51" s="129"/>
      <c r="B51" s="130"/>
      <c r="C51" s="130"/>
      <c r="D51" s="130"/>
      <c r="E51" s="131"/>
      <c r="F51" s="116"/>
      <c r="G51" s="107"/>
      <c r="H51" s="6"/>
      <c r="I51" s="6"/>
      <c r="J51" s="6"/>
      <c r="K51" s="6"/>
      <c r="L51" s="6"/>
      <c r="M51" s="6"/>
      <c r="N51" s="6"/>
      <c r="O51" s="6"/>
      <c r="P51" s="6"/>
      <c r="Q51" s="6"/>
      <c r="R51" s="6"/>
      <c r="S51" s="6"/>
      <c r="T51" s="6"/>
      <c r="U51" s="6"/>
      <c r="V51" s="6"/>
      <c r="W51" s="6"/>
      <c r="X51" s="6"/>
      <c r="Y51" s="6"/>
      <c r="Z51" s="6"/>
      <c r="AA51" s="6"/>
      <c r="AF51" s="52"/>
      <c r="AG51" s="52"/>
      <c r="AH51" s="52"/>
      <c r="AI51" s="52"/>
      <c r="AJ51" s="52"/>
      <c r="AK51" s="52"/>
      <c r="AL51" s="52"/>
      <c r="AM51" s="52"/>
      <c r="AN51" s="52"/>
      <c r="AO51" s="53"/>
      <c r="AP51" s="52"/>
      <c r="AQ51" s="57">
        <f>AR50+1</f>
        <v>7700001</v>
      </c>
      <c r="AR51" s="57">
        <v>10000000</v>
      </c>
      <c r="AS51" s="57">
        <f>IF(AND($AQ51&lt;=AS44,AS44&lt;=$AR51,AS$35&lt;=AS45,AS45&lt;=AS$36),AS44*$AP$34+$AP$39,0)</f>
        <v>0</v>
      </c>
      <c r="AT51" s="57">
        <f>IF(AND($AQ51&lt;=AS44,AS44&lt;=$AR51,AS45&gt;=AT$35,AS45&lt;=AT$36),AS44*$AP$34+$AP$39-$AP$41,0)</f>
        <v>0</v>
      </c>
      <c r="AU51" s="57">
        <f>IF(AND($AQ51&lt;=AS44,AS44&lt;=$AR51,AS45&gt;=AU$35),AS44*$AP$34+$AP$39-$AP$41*2,0)</f>
        <v>0</v>
      </c>
      <c r="AV51" s="57">
        <f>IF(AND($AQ51&lt;=AV44,AV44&lt;=$AR51,AV$35&lt;=AV45,AV45&lt;=AV$36),AV44*$AP$34+$AP$39,0)</f>
        <v>0</v>
      </c>
      <c r="AW51" s="57">
        <f>IF(AND($AQ51&lt;=AV44,AV44&lt;=$AR51,AV45&gt;=AW$35,AV45&lt;=AW$36),AV44*$AP$34+$AP$39-$AP$41,0)</f>
        <v>0</v>
      </c>
      <c r="AX51" s="57">
        <f>IF(AND($AQ51&lt;=AV44,AV44&lt;=$AR51,AV45&gt;=AX$35),AV44*$AP$34+$AP$39-$AP$41*2,0)</f>
        <v>0</v>
      </c>
      <c r="AY51" s="57"/>
      <c r="AZ51" s="57">
        <f>IF(AND($AQ51&lt;=AZ44,AZ44&lt;=$AR51,AZ$35&lt;=AZ45,AZ45&lt;=AZ$36),AZ44*$AP$34+$AP$39,0)</f>
        <v>0</v>
      </c>
      <c r="BA51" s="57">
        <f>IF(AND($AQ51&lt;=AZ44,AZ44&lt;=$AR51,AZ45&gt;=BA$35,AZ45&lt;=BA$36),AZ44*$AP$34+$AP$39-$AP$41,0)</f>
        <v>0</v>
      </c>
      <c r="BB51" s="57">
        <f>IF(AND($AQ51&lt;=AZ44,AZ44&lt;=$AR51,AZ45&gt;=BB$35),AZ44*$AP$34+$AP$39-$AP$41*2,0)</f>
        <v>0</v>
      </c>
      <c r="BC51" s="57">
        <f>IF(AND($AQ51&lt;=BC44,BC44&lt;=$AR51,BC$35&lt;=BC45,BC45&lt;=BC$36),BC44*$AP$34+$AP$39,0)</f>
        <v>0</v>
      </c>
      <c r="BD51" s="57">
        <f>IF(AND($AQ51&lt;=BC44,BC44&lt;=$AR51,BC45&gt;=BD$35,BC45&lt;=BD$36),BC44*$AP$34+$AP$39-$AP$41,0)</f>
        <v>0</v>
      </c>
      <c r="BE51" s="57">
        <f>IF(AND($AQ51&lt;=BC44,BC44&lt;=$AR51,BC45&gt;=BE$35),BC44*$AP$34+$AP$39-$AP$41*2,0)</f>
        <v>0</v>
      </c>
      <c r="BF51" s="52"/>
      <c r="BG51" s="57">
        <f>IF(AND($AQ51&lt;=BG44,BG44&lt;=$AR51,BG$35&lt;=BG45,BG45&lt;=BG$36),BG44*$AP$34+$AP$39,0)</f>
        <v>0</v>
      </c>
      <c r="BH51" s="57">
        <f>IF(AND($AQ51&lt;=BG44,BG44&lt;=$AR51,BG45&gt;=BH$35,BG45&lt;=BH$36),BG44*$AP$34+$AP$39-$AP$41,0)</f>
        <v>0</v>
      </c>
      <c r="BI51" s="57">
        <f>IF(AND($AQ51&lt;=BG44,BG44&lt;=$AR51,BG45&gt;=BI$35),BG44*$AP$34+$AP$39-$AP$41*2,0)</f>
        <v>0</v>
      </c>
      <c r="BJ51" s="57">
        <f>IF(AND($AQ51&lt;=BJ44,BJ44&lt;=$AR51,BJ$35&lt;=BJ45,BJ45&lt;=BJ$36),BJ44*$AP$34+$AP$39,0)</f>
        <v>0</v>
      </c>
      <c r="BK51" s="57">
        <f>IF(AND($AQ51&lt;=BJ44,BJ44&lt;=$AR51,BJ45&gt;=BK$35,BJ45&lt;=BK$36),BJ44*$AP$34+$AP$39-$AP$41,0)</f>
        <v>0</v>
      </c>
      <c r="BL51" s="57">
        <f>IF(AND($AQ51&lt;=BJ44,BJ44&lt;=$AR51,BJ45&gt;=BL$35),BJ44*$AP$34+$AP$39-$AP$41*2,0)</f>
        <v>0</v>
      </c>
      <c r="BM51" s="52"/>
      <c r="BN51" s="57">
        <f>IF(AND($AQ51&lt;=BN44,BN44&lt;=$AR51,BN$35&lt;=BN45,BN45&lt;=BN$36),BN44*$AP$34+$AP$39,0)</f>
        <v>0</v>
      </c>
      <c r="BO51" s="57">
        <f>IF(AND($AQ51&lt;=BN44,BN44&lt;=$AR51,BN45&gt;=BO$35,BN45&lt;=BO$36),BN44*$AP$34+$AP$39-$AP$41,0)</f>
        <v>0</v>
      </c>
      <c r="BP51" s="57">
        <f>IF(AND($AQ51&lt;=BN44,BN44&lt;=$AR51,BN45&gt;=BP$35),BN44*$AP$34+$AP$39-$AP$41*2,0)</f>
        <v>0</v>
      </c>
      <c r="BQ51" s="57">
        <f>IF(AND($AQ51&lt;=BQ44,BQ44&lt;=$AR51,BQ$35&lt;=BQ45,BQ45&lt;=BQ$36),BQ44*$AP$34+$AP$39,0)</f>
        <v>0</v>
      </c>
      <c r="BR51" s="57">
        <f>IF(AND($AQ51&lt;=BQ44,BQ44&lt;=$AR51,BQ45&gt;=BR$35,BQ45&lt;=BR$36),BQ44*$AP$34+$AP$39-$AP$41,0)</f>
        <v>0</v>
      </c>
      <c r="BS51" s="57">
        <f>IF(AND($AQ51&lt;=BQ44,BQ44&lt;=$AR51,BQ45&gt;=BS$35),BQ44*$AP$34+$AP$39-$AP$41*2,0)</f>
        <v>0</v>
      </c>
      <c r="BT51" s="52"/>
      <c r="BU51" s="57">
        <f>IF(AND($AQ51&lt;=BU44,BU44&lt;=$AR51,BU$35&lt;=BU45,BU45&lt;=BU$36),BU44*$AP$34+$AP$39,0)</f>
        <v>0</v>
      </c>
      <c r="BV51" s="57">
        <f>IF(AND($AQ51&lt;=BU44,BU44&lt;=$AR51,BU45&gt;=BV$35,BU45&lt;=BV$36),BU44*$AP$34+$AP$39-$AP$41,0)</f>
        <v>0</v>
      </c>
      <c r="BW51" s="57">
        <f>IF(AND($AQ51&lt;=BU44,BU44&lt;=$AR51,BU45&gt;=BW$35),BU44*$AP$34+$AP$39-$AP$41*2,0)</f>
        <v>0</v>
      </c>
      <c r="BX51" s="57">
        <f>IF(AND($AQ51&lt;=BX44,BX44&lt;=$AR51,BX$35&lt;=BX45,BX45&lt;=BX$36),BX44*$AP$34+$AP$39,0)</f>
        <v>0</v>
      </c>
      <c r="BY51" s="57">
        <f>IF(AND($AQ51&lt;=BX44,BX44&lt;=$AR51,BX45&gt;=BY$35,BX45&lt;=BY$36),BX44*$AP$34+$AP$39-$AP$41,0)</f>
        <v>0</v>
      </c>
      <c r="BZ51" s="57">
        <f>IF(AND($AQ51&lt;=BX44,BX44&lt;=$AR51,BX45&gt;=BZ$35),BX44*$AP$34+$AP$39-$AP$41*2,0)</f>
        <v>0</v>
      </c>
      <c r="CA51" s="52"/>
      <c r="CB51" s="57">
        <f>IF(AND($AQ51&lt;=CB44,CB44&lt;=$AR51,CB$35&lt;=CB45,CB45&lt;=CB$36),CB44*$AP$34+$AP$39,0)</f>
        <v>0</v>
      </c>
      <c r="CC51" s="57">
        <f>IF(AND($AQ51&lt;=CB44,CB44&lt;=$AR51,CB45&gt;=CC$35,CB45&lt;=CC$36),CB44*$AP$34+$AP$39-$AP$41,0)</f>
        <v>0</v>
      </c>
      <c r="CD51" s="57">
        <f>IF(AND($AQ51&lt;=CB44,CB44&lt;=$AR51,CB45&gt;=CD$35),CB44*$AP$34+$AP$39-$AP$41*2,0)</f>
        <v>0</v>
      </c>
      <c r="CE51" s="57">
        <f>IF(AND($AQ51&lt;=CE44,CE44&lt;=$AR51,CE$35&lt;=CE45,CE45&lt;=CE$36),CE44*$AP$34+$AP$39,0)</f>
        <v>0</v>
      </c>
      <c r="CF51" s="57">
        <f>IF(AND($AQ51&lt;=CE44,CE44&lt;=$AR51,CE45&gt;=CF$35,CE45&lt;=CF$36),CE44*$AP$34+$AP$39-$AP$41,0)</f>
        <v>0</v>
      </c>
      <c r="CG51" s="57">
        <f>IF(AND($AQ51&lt;=CE44,CE44&lt;=$AR51,CE45&gt;=CG$35),CE44*$AP$34+$AP$39-$AP$41*2,0)</f>
        <v>0</v>
      </c>
      <c r="CH51" s="52"/>
      <c r="CM51" s="49"/>
      <c r="CN51" s="49"/>
      <c r="CO51" s="49"/>
      <c r="CP51" s="49"/>
      <c r="CQ51" s="49"/>
      <c r="CR51" s="49"/>
      <c r="CS51" s="49"/>
      <c r="CT51" s="3"/>
      <c r="CU51" s="3"/>
    </row>
    <row r="52" spans="1:99" ht="12" customHeight="1" x14ac:dyDescent="0.15">
      <c r="A52" s="125" t="s">
        <v>145</v>
      </c>
      <c r="B52" s="126"/>
      <c r="C52" s="126"/>
      <c r="D52" s="126"/>
      <c r="E52" s="127"/>
      <c r="F52" s="123" t="s">
        <v>99</v>
      </c>
      <c r="G52" s="124"/>
      <c r="H52" s="123" t="s">
        <v>100</v>
      </c>
      <c r="I52" s="124"/>
      <c r="J52" s="121" t="s">
        <v>142</v>
      </c>
      <c r="K52" s="122"/>
      <c r="L52" s="122"/>
      <c r="M52" s="122"/>
      <c r="N52" s="122"/>
      <c r="O52" s="122"/>
      <c r="P52" s="122"/>
      <c r="Q52" s="122"/>
      <c r="R52" s="122"/>
      <c r="S52" s="122"/>
      <c r="T52" s="122"/>
      <c r="U52" s="122"/>
      <c r="V52" s="122"/>
      <c r="W52" s="122"/>
      <c r="X52" s="6"/>
      <c r="Y52" s="6"/>
      <c r="Z52" s="6"/>
      <c r="AA52" s="6"/>
      <c r="AF52" s="52"/>
      <c r="AG52" s="52"/>
      <c r="AH52" s="52"/>
      <c r="AI52" s="52"/>
      <c r="AJ52" s="52"/>
      <c r="AK52" s="52"/>
      <c r="AL52" s="52"/>
      <c r="AM52" s="52"/>
      <c r="AN52" s="52"/>
      <c r="AO52" s="53"/>
      <c r="AP52" s="52"/>
      <c r="AQ52" s="57">
        <f>AR51+1</f>
        <v>10000001</v>
      </c>
      <c r="AR52" s="57"/>
      <c r="AS52" s="57">
        <f>IF(AND($AS$44&gt;=$AQ52,AS$35&gt;=$AS$45,$AS$45&lt;=AS$36),$AP$40,0)</f>
        <v>0</v>
      </c>
      <c r="AT52" s="57">
        <f>IF(AND($AS$44&gt;=$AQ52,$AS$45&gt;=AT$35,$AS$45&lt;=AT$36),$AP$40-$AP$41,0)</f>
        <v>0</v>
      </c>
      <c r="AU52" s="57">
        <f>IF(AND($AS$44&gt;=$AQ52,$AS$45&gt;=AU$35),$AP$40-$AP$41*2,0)</f>
        <v>0</v>
      </c>
      <c r="AV52" s="57">
        <f>IF(AND($AS$44&gt;=$AQ52,AV$35&gt;=$AS$45,$AS$45&lt;=AV$36),$AP$40,0)</f>
        <v>0</v>
      </c>
      <c r="AW52" s="57">
        <f>IF(AND($AS$44&gt;=$AQ52,$AS$45&gt;=AW$35,$AS$45&lt;=AW$36),$AP$40-$AP$41,0)</f>
        <v>0</v>
      </c>
      <c r="AX52" s="57">
        <f>IF(AND($AS$44&gt;=$AQ52,$AS$45&gt;=AX$35),$AP$40-$AP$41*2,0)</f>
        <v>0</v>
      </c>
      <c r="AY52" s="57"/>
      <c r="AZ52" s="57">
        <f>IF(AND(AZ44&gt;=$AQ52,AZ$35&gt;=AZ45,AZ45&lt;=AZ$36),$AP$40,0)</f>
        <v>0</v>
      </c>
      <c r="BA52" s="57">
        <f>IF(AND(AZ44&gt;=$AQ52,AZ45&gt;=BA$35,AZ45&lt;=BA$36),$AP$40-$AP$41,0)</f>
        <v>0</v>
      </c>
      <c r="BB52" s="57">
        <f>IF(AND(AZ44&gt;=$AQ52,AZ45&gt;=BB$35),$AP$40-$AP$41*2,0)</f>
        <v>0</v>
      </c>
      <c r="BC52" s="57">
        <f>IF(AND($AS$44&gt;=$AQ52,BC$35&gt;=$AS$45,$AS$45&lt;=BC$36),$AP$40,0)</f>
        <v>0</v>
      </c>
      <c r="BD52" s="57">
        <f>IF(AND($AS$44&gt;=$AQ52,$AS$45&gt;=BD$35,$AS$45&lt;=BD$36),$AP$40-$AP$41,0)</f>
        <v>0</v>
      </c>
      <c r="BE52" s="57">
        <f>IF(AND($AS$44&gt;=$AQ52,$AS$45&gt;=BE$35),$AP$40-$AP$41*2,0)</f>
        <v>0</v>
      </c>
      <c r="BF52" s="52"/>
      <c r="BG52" s="57">
        <f>IF(AND(BG44&gt;=$AQ52,BG$35&gt;=BG45,BG45&lt;=BG$36),$AP$40,0)</f>
        <v>0</v>
      </c>
      <c r="BH52" s="57">
        <f>IF(AND(BG44&gt;=$AQ52,BG45&gt;=BH$35,BG45&lt;=BH$36),$AP$40-$AP$41,0)</f>
        <v>0</v>
      </c>
      <c r="BI52" s="57">
        <f>IF(AND(BG44&gt;=$AQ52,BG45&gt;=BI$35),$AP$40-$AP$41*2,0)</f>
        <v>0</v>
      </c>
      <c r="BJ52" s="57">
        <f>IF(AND($AS$44&gt;=$AQ52,BJ$35&gt;=$AS$45,$AS$45&lt;=BJ$36),$AP$40,0)</f>
        <v>0</v>
      </c>
      <c r="BK52" s="57">
        <f>IF(AND($AS$44&gt;=$AQ52,$AS$45&gt;=BK$35,$AS$45&lt;=BK$36),$AP$40-$AP$41,0)</f>
        <v>0</v>
      </c>
      <c r="BL52" s="57">
        <f>IF(AND($AS$44&gt;=$AQ52,$AS$45&gt;=BL$35),$AP$40-$AP$41*2,0)</f>
        <v>0</v>
      </c>
      <c r="BM52" s="52"/>
      <c r="BN52" s="57">
        <f>IF(AND(BN44&gt;=$AQ52,BN$35&gt;=BN45,BN45&lt;=BN$36),$AP$40,0)</f>
        <v>0</v>
      </c>
      <c r="BO52" s="57">
        <f>IF(AND(BN44&gt;=$AQ52,BN45&gt;=BO$35,BN45&lt;=BO$36),$AP$40-$AP$41,0)</f>
        <v>0</v>
      </c>
      <c r="BP52" s="57">
        <f>IF(AND(BN44&gt;=$AQ52,BN45&gt;=BP$35),$AP$40-$AP$41*2,0)</f>
        <v>0</v>
      </c>
      <c r="BQ52" s="57">
        <f>IF(AND($AS$44&gt;=$AQ52,BQ$35&gt;=$AS$45,$AS$45&lt;=BQ$36),$AP$40,0)</f>
        <v>0</v>
      </c>
      <c r="BR52" s="57">
        <f>IF(AND($AS$44&gt;=$AQ52,$AS$45&gt;=BR$35,$AS$45&lt;=BR$36),$AP$40-$AP$41,0)</f>
        <v>0</v>
      </c>
      <c r="BS52" s="57">
        <f>IF(AND($AS$44&gt;=$AQ52,$AS$45&gt;=BS$35),$AP$40-$AP$41*2,0)</f>
        <v>0</v>
      </c>
      <c r="BT52" s="52"/>
      <c r="BU52" s="57">
        <f>IF(AND(BU44&gt;=$AQ52,BU$35&gt;=BU45,BU45&lt;=BU$36),$AP$40,0)</f>
        <v>0</v>
      </c>
      <c r="BV52" s="57">
        <f>IF(AND(BU44&gt;=$AQ52,BU45&gt;=BV$35,BU45&lt;=BV$36),$AP$40-$AP$41,0)</f>
        <v>0</v>
      </c>
      <c r="BW52" s="57">
        <f>IF(AND(BU44&gt;=$AQ52,BU45&gt;=BW$35),$AP$40-$AP$41*2,0)</f>
        <v>0</v>
      </c>
      <c r="BX52" s="57">
        <f>IF(AND($AS$44&gt;=$AQ52,BX$35&gt;=$AS$45,$AS$45&lt;=BX$36),$AP$40,0)</f>
        <v>0</v>
      </c>
      <c r="BY52" s="57">
        <f>IF(AND($AS$44&gt;=$AQ52,$AS$45&gt;=BY$35,$AS$45&lt;=BY$36),$AP$40-$AP$41,0)</f>
        <v>0</v>
      </c>
      <c r="BZ52" s="57">
        <f>IF(AND($AS$44&gt;=$AQ52,$AS$45&gt;=BZ$35),$AP$40-$AP$41*2,0)</f>
        <v>0</v>
      </c>
      <c r="CA52" s="52"/>
      <c r="CB52" s="57">
        <f>IF(AND(CB44&gt;=$AQ52,CB$35&gt;=CB45,CB45&lt;=CB$36),$AP$40,0)</f>
        <v>0</v>
      </c>
      <c r="CC52" s="57">
        <f>IF(AND(CB44&gt;=$AQ52,CB45&gt;=CC$35,CB45&lt;=CC$36),$AP$40-$AP$41,0)</f>
        <v>0</v>
      </c>
      <c r="CD52" s="57">
        <f>IF(AND(CB44&gt;=$AQ52,CB45&gt;=CD$35),$AP$40-$AP$41*2,0)</f>
        <v>0</v>
      </c>
      <c r="CE52" s="57">
        <f>IF(AND($AS$44&gt;=$AQ52,CE$35&gt;=$AS$45,$AS$45&lt;=CE$36),$AP$40,0)</f>
        <v>0</v>
      </c>
      <c r="CF52" s="57">
        <f>IF(AND($AS$44&gt;=$AQ52,$AS$45&gt;=CF$35,$AS$45&lt;=CF$36),$AP$40-$AP$41,0)</f>
        <v>0</v>
      </c>
      <c r="CG52" s="57">
        <f>IF(AND($AS$44&gt;=$AQ52,$AS$45&gt;=CG$35),$AP$40-$AP$41*2,0)</f>
        <v>0</v>
      </c>
      <c r="CH52" s="52"/>
    </row>
    <row r="53" spans="1:99" ht="12" customHeight="1" x14ac:dyDescent="0.15">
      <c r="A53" s="121"/>
      <c r="B53" s="122"/>
      <c r="C53" s="122"/>
      <c r="D53" s="122"/>
      <c r="E53" s="128"/>
      <c r="F53" s="132" t="s">
        <v>143</v>
      </c>
      <c r="G53" s="133"/>
      <c r="H53" s="132" t="s">
        <v>144</v>
      </c>
      <c r="I53" s="133"/>
      <c r="J53" s="121"/>
      <c r="K53" s="122"/>
      <c r="L53" s="122"/>
      <c r="M53" s="122"/>
      <c r="N53" s="122"/>
      <c r="O53" s="122"/>
      <c r="P53" s="122"/>
      <c r="Q53" s="122"/>
      <c r="R53" s="122"/>
      <c r="S53" s="122"/>
      <c r="T53" s="122"/>
      <c r="U53" s="122"/>
      <c r="V53" s="122"/>
      <c r="W53" s="122"/>
      <c r="X53" s="6"/>
      <c r="Y53" s="6"/>
      <c r="Z53" s="6"/>
      <c r="AA53" s="6"/>
      <c r="AF53" s="52"/>
      <c r="AG53" s="52"/>
      <c r="AH53" s="52"/>
      <c r="AI53" s="52"/>
      <c r="AJ53" s="52"/>
      <c r="AK53" s="52"/>
      <c r="AL53" s="52"/>
      <c r="AM53" s="52"/>
      <c r="AN53" s="52"/>
      <c r="AO53" s="53"/>
      <c r="AP53" s="52"/>
      <c r="AQ53" s="57"/>
      <c r="AR53" s="57"/>
      <c r="AS53" s="57"/>
      <c r="AT53" s="57"/>
      <c r="AU53" s="57"/>
      <c r="AV53" s="57"/>
      <c r="AW53" s="57"/>
      <c r="AX53" s="57"/>
      <c r="AY53" s="57"/>
      <c r="AZ53" s="57"/>
      <c r="BA53" s="57"/>
      <c r="BB53" s="57"/>
      <c r="BC53" s="57"/>
      <c r="BD53" s="57"/>
      <c r="BE53" s="57"/>
      <c r="BF53" s="52"/>
      <c r="BG53" s="57"/>
      <c r="BH53" s="57"/>
      <c r="BI53" s="57"/>
      <c r="BJ53" s="57"/>
      <c r="BK53" s="57"/>
      <c r="BL53" s="57"/>
      <c r="BM53" s="52"/>
      <c r="BN53" s="57"/>
      <c r="BO53" s="57"/>
      <c r="BP53" s="57"/>
      <c r="BQ53" s="57"/>
      <c r="BR53" s="57"/>
      <c r="BS53" s="57"/>
      <c r="BT53" s="52"/>
      <c r="BU53" s="57"/>
      <c r="BV53" s="57"/>
      <c r="BW53" s="57"/>
      <c r="BX53" s="57"/>
      <c r="BY53" s="57"/>
      <c r="BZ53" s="57"/>
      <c r="CA53" s="52"/>
      <c r="CB53" s="57"/>
      <c r="CC53" s="57"/>
      <c r="CD53" s="57"/>
      <c r="CE53" s="57"/>
      <c r="CF53" s="57"/>
      <c r="CG53" s="57"/>
      <c r="CH53" s="52"/>
    </row>
    <row r="54" spans="1:99" ht="12" customHeight="1" x14ac:dyDescent="0.15">
      <c r="A54" s="121"/>
      <c r="B54" s="122"/>
      <c r="C54" s="122"/>
      <c r="D54" s="122"/>
      <c r="E54" s="128"/>
      <c r="F54" s="115">
        <f>F48-H54*7</f>
        <v>0</v>
      </c>
      <c r="G54" s="106" t="s">
        <v>88</v>
      </c>
      <c r="H54" s="115">
        <f>ROUNDDOWN(F48/8,-2)</f>
        <v>0</v>
      </c>
      <c r="I54" s="106" t="s">
        <v>18</v>
      </c>
      <c r="J54" s="121"/>
      <c r="K54" s="122"/>
      <c r="L54" s="122"/>
      <c r="M54" s="122"/>
      <c r="N54" s="122"/>
      <c r="O54" s="122"/>
      <c r="P54" s="122"/>
      <c r="Q54" s="122"/>
      <c r="R54" s="122"/>
      <c r="S54" s="122"/>
      <c r="T54" s="122"/>
      <c r="U54" s="122"/>
      <c r="V54" s="122"/>
      <c r="W54" s="122"/>
      <c r="X54" s="6"/>
      <c r="Y54" s="6"/>
      <c r="Z54" s="6"/>
      <c r="AA54" s="6"/>
      <c r="AF54" s="52"/>
      <c r="AG54" s="52"/>
      <c r="AH54" s="52"/>
      <c r="AI54" s="52"/>
      <c r="AJ54" s="52"/>
      <c r="AK54" s="52"/>
      <c r="AL54" s="52"/>
      <c r="AM54" s="52"/>
      <c r="AN54" s="52"/>
      <c r="AO54" s="53"/>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row>
    <row r="55" spans="1:99" ht="12" customHeight="1" x14ac:dyDescent="0.15">
      <c r="A55" s="129"/>
      <c r="B55" s="130"/>
      <c r="C55" s="130"/>
      <c r="D55" s="130"/>
      <c r="E55" s="131"/>
      <c r="F55" s="116"/>
      <c r="G55" s="107"/>
      <c r="H55" s="116"/>
      <c r="I55" s="107"/>
      <c r="J55" s="121"/>
      <c r="K55" s="122"/>
      <c r="L55" s="122"/>
      <c r="M55" s="122"/>
      <c r="N55" s="122"/>
      <c r="O55" s="122"/>
      <c r="P55" s="122"/>
      <c r="Q55" s="122"/>
      <c r="R55" s="122"/>
      <c r="S55" s="122"/>
      <c r="T55" s="122"/>
      <c r="U55" s="122"/>
      <c r="V55" s="122"/>
      <c r="W55" s="122"/>
      <c r="X55" s="6"/>
      <c r="Y55" s="6"/>
      <c r="Z55" s="6"/>
      <c r="AA55" s="6"/>
      <c r="AF55" s="52"/>
      <c r="AG55" s="52"/>
      <c r="AH55" s="52"/>
      <c r="AI55" s="52"/>
      <c r="AJ55" s="52"/>
      <c r="AK55" s="52"/>
      <c r="AL55" s="52"/>
      <c r="AM55" s="52"/>
      <c r="AN55" s="52"/>
      <c r="AO55" s="53"/>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row>
    <row r="56" spans="1:99" ht="12" customHeight="1" x14ac:dyDescent="0.15">
      <c r="A56" s="6"/>
      <c r="B56" s="6"/>
      <c r="C56" s="6"/>
      <c r="D56" s="6"/>
      <c r="E56" s="6"/>
      <c r="F56" s="16"/>
      <c r="G56" s="17"/>
      <c r="H56" s="16"/>
      <c r="I56" s="17"/>
      <c r="J56" s="6"/>
      <c r="K56" s="6"/>
      <c r="L56" s="6"/>
      <c r="M56" s="6"/>
      <c r="N56" s="6"/>
      <c r="O56" s="6"/>
      <c r="P56" s="6"/>
      <c r="Q56" s="6"/>
      <c r="R56" s="6"/>
      <c r="S56" s="6"/>
      <c r="T56" s="6"/>
      <c r="U56" s="6"/>
      <c r="V56" s="6"/>
      <c r="W56" s="6"/>
      <c r="X56" s="18" t="s">
        <v>108</v>
      </c>
      <c r="Y56" s="67">
        <f ca="1">TODAY()</f>
        <v>46164</v>
      </c>
      <c r="Z56" s="67"/>
      <c r="AA56" s="6"/>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row>
    <row r="57" spans="1:99" ht="13.5" customHeight="1" thickBo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row>
    <row r="58" spans="1:99" x14ac:dyDescent="0.15">
      <c r="A58" s="144" t="s">
        <v>102</v>
      </c>
      <c r="B58" s="145"/>
      <c r="C58" s="145"/>
      <c r="D58" s="145"/>
      <c r="E58" s="145"/>
      <c r="F58" s="145"/>
      <c r="G58" s="145"/>
      <c r="H58" s="19"/>
      <c r="I58" s="19"/>
      <c r="J58" s="19"/>
      <c r="K58" s="19"/>
      <c r="L58" s="19"/>
      <c r="M58" s="19"/>
      <c r="N58" s="19"/>
      <c r="O58" s="19"/>
      <c r="P58" s="19"/>
      <c r="Q58" s="19"/>
      <c r="R58" s="19"/>
      <c r="S58" s="19"/>
      <c r="T58" s="19"/>
      <c r="U58" s="19"/>
      <c r="V58" s="19"/>
      <c r="W58" s="19"/>
      <c r="X58" s="19"/>
      <c r="Y58" s="19"/>
      <c r="Z58" s="19"/>
      <c r="AA58" s="20"/>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row>
    <row r="59" spans="1:99" ht="12" customHeight="1" x14ac:dyDescent="0.15">
      <c r="A59" s="146"/>
      <c r="B59" s="147"/>
      <c r="C59" s="147"/>
      <c r="D59" s="147"/>
      <c r="E59" s="147"/>
      <c r="F59" s="147"/>
      <c r="G59" s="147"/>
      <c r="H59" s="6"/>
      <c r="I59" s="6"/>
      <c r="J59" s="6"/>
      <c r="K59" s="6"/>
      <c r="L59" s="6"/>
      <c r="M59" s="6"/>
      <c r="N59" s="6"/>
      <c r="O59" s="6"/>
      <c r="P59" s="6"/>
      <c r="Q59" s="6"/>
      <c r="R59" s="6"/>
      <c r="S59" s="6"/>
      <c r="T59" s="6"/>
      <c r="U59" s="6"/>
      <c r="V59" s="6"/>
      <c r="W59" s="6"/>
      <c r="X59" s="6"/>
      <c r="Y59" s="6"/>
      <c r="Z59" s="6"/>
      <c r="AA59" s="21"/>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row>
    <row r="60" spans="1:99" ht="12" customHeight="1" x14ac:dyDescent="0.15">
      <c r="A60" s="22"/>
      <c r="B60" s="23"/>
      <c r="C60" s="23"/>
      <c r="D60" s="23"/>
      <c r="E60" s="23"/>
      <c r="F60" s="23"/>
      <c r="G60" s="23"/>
      <c r="H60" s="6"/>
      <c r="I60" s="6"/>
      <c r="J60" s="6"/>
      <c r="K60" s="6"/>
      <c r="L60" s="6"/>
      <c r="M60" s="6"/>
      <c r="N60" s="6"/>
      <c r="O60" s="6"/>
      <c r="P60" s="6"/>
      <c r="Q60" s="6"/>
      <c r="R60" s="6"/>
      <c r="S60" s="6"/>
      <c r="T60" s="6"/>
      <c r="U60" s="6"/>
      <c r="V60" s="6"/>
      <c r="W60" s="6"/>
      <c r="X60" s="6"/>
      <c r="Y60" s="6"/>
      <c r="Z60" s="6"/>
      <c r="AA60" s="21"/>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row>
    <row r="61" spans="1:99" x14ac:dyDescent="0.15">
      <c r="A61" s="24" t="s">
        <v>139</v>
      </c>
      <c r="B61" s="6"/>
      <c r="C61" s="6"/>
      <c r="D61" s="6"/>
      <c r="E61" s="6"/>
      <c r="F61" s="6"/>
      <c r="G61" s="6"/>
      <c r="H61" s="6"/>
      <c r="I61" s="6"/>
      <c r="J61" s="6"/>
      <c r="K61" s="6"/>
      <c r="L61" s="6"/>
      <c r="M61" s="6"/>
      <c r="N61" s="6"/>
      <c r="O61" s="6"/>
      <c r="P61" s="6"/>
      <c r="Q61" s="6"/>
      <c r="R61" s="6"/>
      <c r="S61" s="6"/>
      <c r="T61" s="6"/>
      <c r="U61" s="6"/>
      <c r="V61" s="6"/>
      <c r="W61" s="6"/>
      <c r="X61" s="6"/>
      <c r="Y61" s="6"/>
      <c r="Z61" s="6"/>
      <c r="AA61" s="21"/>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row>
    <row r="62" spans="1:99" x14ac:dyDescent="0.15">
      <c r="A62" s="24"/>
      <c r="B62" s="6"/>
      <c r="C62" s="6"/>
      <c r="D62" s="6"/>
      <c r="E62" s="6"/>
      <c r="F62" s="6"/>
      <c r="G62" s="6"/>
      <c r="H62" s="6"/>
      <c r="I62" s="6"/>
      <c r="J62" s="6"/>
      <c r="K62" s="6"/>
      <c r="L62" s="6"/>
      <c r="M62" s="6"/>
      <c r="N62" s="6"/>
      <c r="O62" s="6"/>
      <c r="P62" s="6"/>
      <c r="Q62" s="6"/>
      <c r="R62" s="6"/>
      <c r="S62" s="6"/>
      <c r="T62" s="6"/>
      <c r="U62" s="6"/>
      <c r="V62" s="6"/>
      <c r="W62" s="6"/>
      <c r="X62" s="6"/>
      <c r="Y62" s="6"/>
      <c r="Z62" s="6"/>
      <c r="AA62" s="21"/>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row>
    <row r="63" spans="1:99" x14ac:dyDescent="0.15">
      <c r="A63" s="24" t="s">
        <v>140</v>
      </c>
      <c r="B63" s="6"/>
      <c r="C63" s="6"/>
      <c r="D63" s="6"/>
      <c r="E63" s="6"/>
      <c r="F63" s="6"/>
      <c r="G63" s="6"/>
      <c r="H63" s="6"/>
      <c r="I63" s="6"/>
      <c r="J63" s="6"/>
      <c r="K63" s="6"/>
      <c r="L63" s="6"/>
      <c r="M63" s="6"/>
      <c r="N63" s="6"/>
      <c r="O63" s="6"/>
      <c r="P63" s="6"/>
      <c r="Q63" s="6"/>
      <c r="R63" s="6"/>
      <c r="S63" s="6"/>
      <c r="T63" s="6"/>
      <c r="U63" s="6"/>
      <c r="V63" s="6"/>
      <c r="W63" s="6"/>
      <c r="X63" s="6"/>
      <c r="Y63" s="6"/>
      <c r="Z63" s="6"/>
      <c r="AA63" s="21"/>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row>
    <row r="64" spans="1:99" x14ac:dyDescent="0.15">
      <c r="A64" s="24"/>
      <c r="B64" s="6"/>
      <c r="C64" s="6"/>
      <c r="D64" s="6"/>
      <c r="E64" s="6"/>
      <c r="F64" s="6"/>
      <c r="G64" s="6"/>
      <c r="H64" s="6"/>
      <c r="I64" s="6"/>
      <c r="J64" s="6"/>
      <c r="K64" s="6"/>
      <c r="L64" s="6"/>
      <c r="M64" s="6"/>
      <c r="N64" s="6"/>
      <c r="O64" s="6"/>
      <c r="P64" s="6"/>
      <c r="Q64" s="6"/>
      <c r="R64" s="6"/>
      <c r="S64" s="6"/>
      <c r="T64" s="6"/>
      <c r="U64" s="6"/>
      <c r="V64" s="6"/>
      <c r="W64" s="6"/>
      <c r="X64" s="6"/>
      <c r="Y64" s="6"/>
      <c r="Z64" s="6"/>
      <c r="AA64" s="21"/>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row>
    <row r="65" spans="1:86" x14ac:dyDescent="0.15">
      <c r="A65" s="24" t="s">
        <v>141</v>
      </c>
      <c r="B65" s="6"/>
      <c r="C65" s="6"/>
      <c r="D65" s="6"/>
      <c r="E65" s="6"/>
      <c r="F65" s="6"/>
      <c r="G65" s="6"/>
      <c r="H65" s="6"/>
      <c r="I65" s="6"/>
      <c r="J65" s="6"/>
      <c r="K65" s="6"/>
      <c r="L65" s="6"/>
      <c r="M65" s="6"/>
      <c r="N65" s="6"/>
      <c r="O65" s="6"/>
      <c r="P65" s="6"/>
      <c r="Q65" s="6"/>
      <c r="R65" s="6"/>
      <c r="S65" s="6"/>
      <c r="T65" s="6"/>
      <c r="U65" s="6"/>
      <c r="V65" s="6"/>
      <c r="W65" s="6"/>
      <c r="X65" s="6"/>
      <c r="Y65" s="6"/>
      <c r="Z65" s="6"/>
      <c r="AA65" s="21"/>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row>
    <row r="66" spans="1:86" ht="13.5" customHeight="1" thickBot="1" x14ac:dyDescent="0.2">
      <c r="A66" s="26"/>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8"/>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row>
    <row r="67" spans="1:86" x14ac:dyDescent="0.15">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row>
    <row r="68" spans="1:86" x14ac:dyDescent="0.15">
      <c r="A68" s="1">
        <f>F48/8</f>
        <v>0</v>
      </c>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row>
    <row r="69" spans="1:86" x14ac:dyDescent="0.15">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row>
    <row r="70" spans="1:86" x14ac:dyDescent="0.15">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row>
    <row r="71" spans="1:86" x14ac:dyDescent="0.15">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row>
    <row r="72" spans="1:86" x14ac:dyDescent="0.15">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row>
    <row r="73" spans="1:86" x14ac:dyDescent="0.15">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row>
    <row r="74" spans="1:86" x14ac:dyDescent="0.15">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row>
    <row r="75" spans="1:86" x14ac:dyDescent="0.15">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row>
    <row r="76" spans="1:86" x14ac:dyDescent="0.15">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row>
    <row r="77" spans="1:86" x14ac:dyDescent="0.15">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row>
    <row r="78" spans="1:86" x14ac:dyDescent="0.15">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row>
    <row r="79" spans="1:86" x14ac:dyDescent="0.15">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row>
    <row r="80" spans="1:86" x14ac:dyDescent="0.15">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row>
    <row r="81" spans="32:86" x14ac:dyDescent="0.15">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row>
    <row r="82" spans="32:86" x14ac:dyDescent="0.15">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row>
    <row r="83" spans="32:86" x14ac:dyDescent="0.15">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row>
    <row r="84" spans="32:86" x14ac:dyDescent="0.15">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row>
    <row r="85" spans="32:86" x14ac:dyDescent="0.15">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row>
    <row r="86" spans="32:86" x14ac:dyDescent="0.15">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row>
    <row r="87" spans="32:86" x14ac:dyDescent="0.15">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row>
    <row r="88" spans="32:86" x14ac:dyDescent="0.15">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row>
    <row r="89" spans="32:86" x14ac:dyDescent="0.15">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row>
    <row r="90" spans="32:86" x14ac:dyDescent="0.15">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row>
    <row r="91" spans="32:86" x14ac:dyDescent="0.15">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row>
    <row r="92" spans="32:86" x14ac:dyDescent="0.15">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row>
    <row r="93" spans="32:86" x14ac:dyDescent="0.15">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row>
    <row r="94" spans="32:86" x14ac:dyDescent="0.15">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row>
    <row r="95" spans="32:86" x14ac:dyDescent="0.15">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row>
    <row r="96" spans="32:86" x14ac:dyDescent="0.15">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row>
    <row r="97" spans="32:86" x14ac:dyDescent="0.15">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row>
    <row r="98" spans="32:86" x14ac:dyDescent="0.15">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row>
    <row r="99" spans="32:86" x14ac:dyDescent="0.15">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row>
    <row r="100" spans="32:86" x14ac:dyDescent="0.15">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row>
    <row r="101" spans="32:86" x14ac:dyDescent="0.15">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row>
    <row r="102" spans="32:86" x14ac:dyDescent="0.15">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row>
    <row r="103" spans="32:86" x14ac:dyDescent="0.15">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row>
    <row r="104" spans="32:86" x14ac:dyDescent="0.15">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row>
    <row r="105" spans="32:86" x14ac:dyDescent="0.15">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row>
    <row r="106" spans="32:86" x14ac:dyDescent="0.15">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row>
    <row r="107" spans="32:86" x14ac:dyDescent="0.15">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row>
    <row r="108" spans="32:86" x14ac:dyDescent="0.15">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row>
    <row r="109" spans="32:86" x14ac:dyDescent="0.15">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row>
    <row r="110" spans="32:86" x14ac:dyDescent="0.15">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row>
    <row r="111" spans="32:86" x14ac:dyDescent="0.15">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row>
    <row r="112" spans="32:86" x14ac:dyDescent="0.15">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row>
    <row r="113" spans="32:86" x14ac:dyDescent="0.15">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row>
    <row r="114" spans="32:86" x14ac:dyDescent="0.15">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row>
    <row r="115" spans="32:86" x14ac:dyDescent="0.15">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row>
    <row r="116" spans="32:86" x14ac:dyDescent="0.15">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row>
    <row r="117" spans="32:86" x14ac:dyDescent="0.15">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row>
    <row r="118" spans="32:86" x14ac:dyDescent="0.15">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row>
    <row r="119" spans="32:86" x14ac:dyDescent="0.15">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row>
    <row r="120" spans="32:86" x14ac:dyDescent="0.15">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row>
    <row r="121" spans="32:86" x14ac:dyDescent="0.15">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row>
    <row r="122" spans="32:86" x14ac:dyDescent="0.15">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row>
    <row r="123" spans="32:86" x14ac:dyDescent="0.15">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row>
    <row r="124" spans="32:86" x14ac:dyDescent="0.15">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row>
    <row r="125" spans="32:86" x14ac:dyDescent="0.15">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row>
    <row r="126" spans="32:86" x14ac:dyDescent="0.15">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row>
    <row r="127" spans="32:86" x14ac:dyDescent="0.15">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row>
    <row r="128" spans="32:86" x14ac:dyDescent="0.15">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row>
    <row r="129" spans="32:86" x14ac:dyDescent="0.15">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row>
    <row r="130" spans="32:86" x14ac:dyDescent="0.15">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row>
    <row r="131" spans="32:86" x14ac:dyDescent="0.15">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row>
    <row r="132" spans="32:86" x14ac:dyDescent="0.15">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row>
    <row r="133" spans="32:86" x14ac:dyDescent="0.15">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row>
    <row r="134" spans="32:86" x14ac:dyDescent="0.15">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row>
    <row r="135" spans="32:86" x14ac:dyDescent="0.15">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row>
    <row r="136" spans="32:86" x14ac:dyDescent="0.15">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row>
    <row r="137" spans="32:86" x14ac:dyDescent="0.15">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row>
    <row r="138" spans="32:86" x14ac:dyDescent="0.15">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row>
    <row r="139" spans="32:86" x14ac:dyDescent="0.15">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row>
    <row r="140" spans="32:86" x14ac:dyDescent="0.15">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row>
    <row r="141" spans="32:86" x14ac:dyDescent="0.15">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row>
    <row r="142" spans="32:86" x14ac:dyDescent="0.15">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row>
    <row r="143" spans="32:86" x14ac:dyDescent="0.15">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row>
    <row r="144" spans="32:86" x14ac:dyDescent="0.15">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row>
    <row r="145" spans="32:86" x14ac:dyDescent="0.15">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row>
    <row r="146" spans="32:86" x14ac:dyDescent="0.15">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row>
    <row r="147" spans="32:86" x14ac:dyDescent="0.15">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row>
  </sheetData>
  <sheetProtection algorithmName="SHA-512" hashValue="AByP1U33NbGZ9upEI102jMQ9B5IuJBl3WgZeHHetNoUo7U64oZVTsVaVNSUe8v2UbkCbmF8R8XgXHqjeTp28Nw==" saltValue="C3F1ZUf2EV1Zp70z8iNcpw==" spinCount="100000" sheet="1" selectLockedCells="1"/>
  <mergeCells count="373">
    <mergeCell ref="Z44:AC45"/>
    <mergeCell ref="AD44:AD45"/>
    <mergeCell ref="AE44:AE45"/>
    <mergeCell ref="Z27:AB28"/>
    <mergeCell ref="AC27:AC28"/>
    <mergeCell ref="Z40:Z41"/>
    <mergeCell ref="AA40:AA41"/>
    <mergeCell ref="AB40:AB41"/>
    <mergeCell ref="AC40:AC41"/>
    <mergeCell ref="Z42:Z43"/>
    <mergeCell ref="AA42:AA43"/>
    <mergeCell ref="AB42:AB43"/>
    <mergeCell ref="AC42:AC43"/>
    <mergeCell ref="AB36:AB37"/>
    <mergeCell ref="AC36:AC37"/>
    <mergeCell ref="Z38:Z39"/>
    <mergeCell ref="AA38:AA39"/>
    <mergeCell ref="AB38:AB39"/>
    <mergeCell ref="AC38:AC39"/>
    <mergeCell ref="AD27:AD28"/>
    <mergeCell ref="AE27:AE28"/>
    <mergeCell ref="Z29:AA30"/>
    <mergeCell ref="AB29:AC30"/>
    <mergeCell ref="AD29:AE30"/>
    <mergeCell ref="Z32:Z33"/>
    <mergeCell ref="AA32:AA33"/>
    <mergeCell ref="AB32:AB33"/>
    <mergeCell ref="AC32:AC33"/>
    <mergeCell ref="AD32:AD43"/>
    <mergeCell ref="AE32:AE43"/>
    <mergeCell ref="Z34:Z35"/>
    <mergeCell ref="AA34:AA35"/>
    <mergeCell ref="AB34:AB35"/>
    <mergeCell ref="AC34:AC35"/>
    <mergeCell ref="Z36:Z37"/>
    <mergeCell ref="AA36:AA37"/>
    <mergeCell ref="V27:W28"/>
    <mergeCell ref="X27:X28"/>
    <mergeCell ref="Y27:Y28"/>
    <mergeCell ref="A24:A25"/>
    <mergeCell ref="B24:C25"/>
    <mergeCell ref="A58:G59"/>
    <mergeCell ref="H48:I49"/>
    <mergeCell ref="B27:E28"/>
    <mergeCell ref="F27:G28"/>
    <mergeCell ref="H27:H28"/>
    <mergeCell ref="I27:I28"/>
    <mergeCell ref="J27:M28"/>
    <mergeCell ref="N27:O28"/>
    <mergeCell ref="P27:P28"/>
    <mergeCell ref="Q27:Q28"/>
    <mergeCell ref="R27:U28"/>
    <mergeCell ref="Y44:Y45"/>
    <mergeCell ref="A48:E49"/>
    <mergeCell ref="A50:E51"/>
    <mergeCell ref="F48:F49"/>
    <mergeCell ref="G48:G49"/>
    <mergeCell ref="F50:F51"/>
    <mergeCell ref="G50:G51"/>
    <mergeCell ref="J48:Q49"/>
    <mergeCell ref="F54:F55"/>
    <mergeCell ref="G54:G55"/>
    <mergeCell ref="H54:H55"/>
    <mergeCell ref="I54:I55"/>
    <mergeCell ref="A44:A45"/>
    <mergeCell ref="B44:G45"/>
    <mergeCell ref="H44:H45"/>
    <mergeCell ref="I44:I45"/>
    <mergeCell ref="J44:O45"/>
    <mergeCell ref="J52:W55"/>
    <mergeCell ref="F52:G52"/>
    <mergeCell ref="H52:I52"/>
    <mergeCell ref="A52:E55"/>
    <mergeCell ref="P44:P45"/>
    <mergeCell ref="Q44:Q45"/>
    <mergeCell ref="R44:W45"/>
    <mergeCell ref="F53:G53"/>
    <mergeCell ref="H53:I53"/>
    <mergeCell ref="M34:M35"/>
    <mergeCell ref="M36:M37"/>
    <mergeCell ref="M38:M39"/>
    <mergeCell ref="M42:M43"/>
    <mergeCell ref="X44:X45"/>
    <mergeCell ref="W34:W35"/>
    <mergeCell ref="W36:W37"/>
    <mergeCell ref="W38:W39"/>
    <mergeCell ref="W40:W41"/>
    <mergeCell ref="W42:W43"/>
    <mergeCell ref="R36:R37"/>
    <mergeCell ref="R38:R39"/>
    <mergeCell ref="R40:R41"/>
    <mergeCell ref="R42:R43"/>
    <mergeCell ref="T34:T35"/>
    <mergeCell ref="T36:T37"/>
    <mergeCell ref="T38:T39"/>
    <mergeCell ref="T40:T41"/>
    <mergeCell ref="T42:T43"/>
    <mergeCell ref="V34:V35"/>
    <mergeCell ref="V36:V37"/>
    <mergeCell ref="V38:V39"/>
    <mergeCell ref="V40:V41"/>
    <mergeCell ref="V42:V43"/>
    <mergeCell ref="O34:O35"/>
    <mergeCell ref="O36:O37"/>
    <mergeCell ref="O38:O39"/>
    <mergeCell ref="O40:O41"/>
    <mergeCell ref="O42:O43"/>
    <mergeCell ref="G42:G43"/>
    <mergeCell ref="H32:H43"/>
    <mergeCell ref="I32:I43"/>
    <mergeCell ref="Q32:Q43"/>
    <mergeCell ref="M40:M41"/>
    <mergeCell ref="J38:J39"/>
    <mergeCell ref="J40:J41"/>
    <mergeCell ref="J42:J43"/>
    <mergeCell ref="L34:L35"/>
    <mergeCell ref="L36:L37"/>
    <mergeCell ref="L38:L39"/>
    <mergeCell ref="L40:L41"/>
    <mergeCell ref="L42:L43"/>
    <mergeCell ref="N34:N35"/>
    <mergeCell ref="N36:N37"/>
    <mergeCell ref="N38:N39"/>
    <mergeCell ref="N40:N41"/>
    <mergeCell ref="N42:N43"/>
    <mergeCell ref="K42:K43"/>
    <mergeCell ref="Y32:Y43"/>
    <mergeCell ref="X32:X43"/>
    <mergeCell ref="B34:B35"/>
    <mergeCell ref="B36:B37"/>
    <mergeCell ref="B38:B39"/>
    <mergeCell ref="B40:B41"/>
    <mergeCell ref="B42:B43"/>
    <mergeCell ref="D34:D35"/>
    <mergeCell ref="D36:D37"/>
    <mergeCell ref="D38:D39"/>
    <mergeCell ref="D40:D41"/>
    <mergeCell ref="D42:D43"/>
    <mergeCell ref="F34:F35"/>
    <mergeCell ref="F36:F37"/>
    <mergeCell ref="F38:F39"/>
    <mergeCell ref="F42:F43"/>
    <mergeCell ref="K34:K35"/>
    <mergeCell ref="K36:K37"/>
    <mergeCell ref="K38:K39"/>
    <mergeCell ref="U34:U35"/>
    <mergeCell ref="U36:U37"/>
    <mergeCell ref="U38:U39"/>
    <mergeCell ref="U40:U41"/>
    <mergeCell ref="U42:U43"/>
    <mergeCell ref="W32:W33"/>
    <mergeCell ref="A34:A35"/>
    <mergeCell ref="A36:A37"/>
    <mergeCell ref="A38:A39"/>
    <mergeCell ref="A40:A41"/>
    <mergeCell ref="A42:A43"/>
    <mergeCell ref="C34:C35"/>
    <mergeCell ref="C36:C37"/>
    <mergeCell ref="C38:C39"/>
    <mergeCell ref="C40:C41"/>
    <mergeCell ref="C42:C43"/>
    <mergeCell ref="E34:E35"/>
    <mergeCell ref="E36:E37"/>
    <mergeCell ref="E38:E39"/>
    <mergeCell ref="E40:E41"/>
    <mergeCell ref="E42:E43"/>
    <mergeCell ref="G34:G35"/>
    <mergeCell ref="G36:G37"/>
    <mergeCell ref="G38:G39"/>
    <mergeCell ref="F40:F41"/>
    <mergeCell ref="G40:G41"/>
    <mergeCell ref="K40:K41"/>
    <mergeCell ref="J34:J35"/>
    <mergeCell ref="J36:J37"/>
    <mergeCell ref="B29:C30"/>
    <mergeCell ref="D29:E30"/>
    <mergeCell ref="F29:G30"/>
    <mergeCell ref="H29:I30"/>
    <mergeCell ref="J29:K30"/>
    <mergeCell ref="L29:M30"/>
    <mergeCell ref="N29:O30"/>
    <mergeCell ref="L32:L33"/>
    <mergeCell ref="M32:M33"/>
    <mergeCell ref="N32:N33"/>
    <mergeCell ref="O32:O33"/>
    <mergeCell ref="P29:Q30"/>
    <mergeCell ref="R29:S30"/>
    <mergeCell ref="T29:U30"/>
    <mergeCell ref="V29:W30"/>
    <mergeCell ref="A32:A33"/>
    <mergeCell ref="B32:B33"/>
    <mergeCell ref="C32:C33"/>
    <mergeCell ref="D32:D33"/>
    <mergeCell ref="E32:E33"/>
    <mergeCell ref="F32:F33"/>
    <mergeCell ref="G32:G33"/>
    <mergeCell ref="J32:J33"/>
    <mergeCell ref="R32:R33"/>
    <mergeCell ref="S32:S33"/>
    <mergeCell ref="T32:T33"/>
    <mergeCell ref="U32:U33"/>
    <mergeCell ref="V32:V33"/>
    <mergeCell ref="P32:P43"/>
    <mergeCell ref="R34:R35"/>
    <mergeCell ref="S34:S35"/>
    <mergeCell ref="S36:S37"/>
    <mergeCell ref="S38:S39"/>
    <mergeCell ref="S40:S41"/>
    <mergeCell ref="S42:S43"/>
    <mergeCell ref="X29:Y30"/>
    <mergeCell ref="K32:K33"/>
    <mergeCell ref="AA10:AA12"/>
    <mergeCell ref="V5:W9"/>
    <mergeCell ref="X5:Y9"/>
    <mergeCell ref="Z10:Z12"/>
    <mergeCell ref="Q10:Q12"/>
    <mergeCell ref="R10:R12"/>
    <mergeCell ref="S10:S12"/>
    <mergeCell ref="T10:T12"/>
    <mergeCell ref="U10:U12"/>
    <mergeCell ref="K10:K12"/>
    <mergeCell ref="L10:M12"/>
    <mergeCell ref="N10:N12"/>
    <mergeCell ref="O10:O12"/>
    <mergeCell ref="P10:P12"/>
    <mergeCell ref="N19:N20"/>
    <mergeCell ref="O19:O20"/>
    <mergeCell ref="N21:N22"/>
    <mergeCell ref="O21:O22"/>
    <mergeCell ref="R19:R20"/>
    <mergeCell ref="S19:S20"/>
    <mergeCell ref="R21:R22"/>
    <mergeCell ref="S21:S22"/>
    <mergeCell ref="A1:AA2"/>
    <mergeCell ref="A4:A9"/>
    <mergeCell ref="F5:G9"/>
    <mergeCell ref="N5:O9"/>
    <mergeCell ref="P5:Q9"/>
    <mergeCell ref="T5:U9"/>
    <mergeCell ref="Z4:AA4"/>
    <mergeCell ref="Z7:AA9"/>
    <mergeCell ref="Z5:AA6"/>
    <mergeCell ref="R5:S6"/>
    <mergeCell ref="R7:S9"/>
    <mergeCell ref="H5:I5"/>
    <mergeCell ref="H6:I6"/>
    <mergeCell ref="H7:I9"/>
    <mergeCell ref="F4:Y4"/>
    <mergeCell ref="A21:A22"/>
    <mergeCell ref="V10:V12"/>
    <mergeCell ref="W10:W12"/>
    <mergeCell ref="X10:X12"/>
    <mergeCell ref="Y10:Y12"/>
    <mergeCell ref="A11:A12"/>
    <mergeCell ref="F10:F12"/>
    <mergeCell ref="G10:G12"/>
    <mergeCell ref="J10:J12"/>
    <mergeCell ref="H10:I12"/>
    <mergeCell ref="B10:C12"/>
    <mergeCell ref="D15:E16"/>
    <mergeCell ref="D17:E18"/>
    <mergeCell ref="D21:E22"/>
    <mergeCell ref="B15:C16"/>
    <mergeCell ref="B17:C18"/>
    <mergeCell ref="F19:F20"/>
    <mergeCell ref="G19:G20"/>
    <mergeCell ref="F21:F22"/>
    <mergeCell ref="F13:F14"/>
    <mergeCell ref="G13:G14"/>
    <mergeCell ref="F15:F16"/>
    <mergeCell ref="A13:A14"/>
    <mergeCell ref="A15:A16"/>
    <mergeCell ref="A17:A18"/>
    <mergeCell ref="N13:N14"/>
    <mergeCell ref="O13:O14"/>
    <mergeCell ref="N15:N16"/>
    <mergeCell ref="O15:O16"/>
    <mergeCell ref="N17:N18"/>
    <mergeCell ref="O17:O18"/>
    <mergeCell ref="Q19:Q20"/>
    <mergeCell ref="D19:E20"/>
    <mergeCell ref="A19:A20"/>
    <mergeCell ref="Q21:Q22"/>
    <mergeCell ref="Q13:Q14"/>
    <mergeCell ref="P15:P16"/>
    <mergeCell ref="Q15:Q16"/>
    <mergeCell ref="P17:P18"/>
    <mergeCell ref="Q17:Q18"/>
    <mergeCell ref="P13:P14"/>
    <mergeCell ref="P19:P20"/>
    <mergeCell ref="G15:G16"/>
    <mergeCell ref="K15:K16"/>
    <mergeCell ref="J17:J18"/>
    <mergeCell ref="K17:K18"/>
    <mergeCell ref="G17:G18"/>
    <mergeCell ref="G21:G22"/>
    <mergeCell ref="J13:J14"/>
    <mergeCell ref="J19:J20"/>
    <mergeCell ref="H13:I14"/>
    <mergeCell ref="H15:I16"/>
    <mergeCell ref="H17:I18"/>
    <mergeCell ref="H19:I20"/>
    <mergeCell ref="H21:I22"/>
    <mergeCell ref="P21:P22"/>
    <mergeCell ref="T19:T20"/>
    <mergeCell ref="U19:U20"/>
    <mergeCell ref="T21:T22"/>
    <mergeCell ref="U21:U22"/>
    <mergeCell ref="V13:V14"/>
    <mergeCell ref="V19:V20"/>
    <mergeCell ref="T13:T14"/>
    <mergeCell ref="U13:U14"/>
    <mergeCell ref="T15:T16"/>
    <mergeCell ref="U15:U16"/>
    <mergeCell ref="T17:T18"/>
    <mergeCell ref="U17:U18"/>
    <mergeCell ref="Z19:Z20"/>
    <mergeCell ref="AA19:AA20"/>
    <mergeCell ref="Z21:Z22"/>
    <mergeCell ref="AA21:AA22"/>
    <mergeCell ref="W19:W20"/>
    <mergeCell ref="V21:V22"/>
    <mergeCell ref="W21:W22"/>
    <mergeCell ref="X13:X14"/>
    <mergeCell ref="Y13:Y14"/>
    <mergeCell ref="X15:X16"/>
    <mergeCell ref="Y15:Y16"/>
    <mergeCell ref="X17:X18"/>
    <mergeCell ref="Y17:Y18"/>
    <mergeCell ref="X19:X20"/>
    <mergeCell ref="Y19:Y20"/>
    <mergeCell ref="X21:X22"/>
    <mergeCell ref="Y21:Y22"/>
    <mergeCell ref="W13:W14"/>
    <mergeCell ref="V15:V16"/>
    <mergeCell ref="W15:W16"/>
    <mergeCell ref="V17:V18"/>
    <mergeCell ref="W17:W18"/>
    <mergeCell ref="Z13:Z14"/>
    <mergeCell ref="AA13:AA14"/>
    <mergeCell ref="AA15:AA16"/>
    <mergeCell ref="Z17:Z18"/>
    <mergeCell ref="AA17:AA18"/>
    <mergeCell ref="R13:R14"/>
    <mergeCell ref="S13:S14"/>
    <mergeCell ref="R15:R16"/>
    <mergeCell ref="S15:S16"/>
    <mergeCell ref="R17:R18"/>
    <mergeCell ref="S17:S18"/>
    <mergeCell ref="Y56:Z56"/>
    <mergeCell ref="B19:C20"/>
    <mergeCell ref="B21:C22"/>
    <mergeCell ref="J7:K9"/>
    <mergeCell ref="J5:K6"/>
    <mergeCell ref="L5:M6"/>
    <mergeCell ref="L7:M9"/>
    <mergeCell ref="B4:C9"/>
    <mergeCell ref="D4:E9"/>
    <mergeCell ref="D10:E12"/>
    <mergeCell ref="B13:C14"/>
    <mergeCell ref="D13:E14"/>
    <mergeCell ref="K19:K20"/>
    <mergeCell ref="J21:J22"/>
    <mergeCell ref="K21:K22"/>
    <mergeCell ref="L13:M14"/>
    <mergeCell ref="L15:M16"/>
    <mergeCell ref="L17:M18"/>
    <mergeCell ref="L19:M20"/>
    <mergeCell ref="L21:M22"/>
    <mergeCell ref="K13:K14"/>
    <mergeCell ref="J15:J16"/>
    <mergeCell ref="F17:F18"/>
    <mergeCell ref="Z15:Z16"/>
  </mergeCells>
  <phoneticPr fontId="1"/>
  <conditionalFormatting sqref="B10:C12">
    <cfRule type="expression" priority="122" stopIfTrue="1">
      <formula>$B$10&lt;&gt;""</formula>
    </cfRule>
    <cfRule type="expression" dxfId="41" priority="123">
      <formula>OR($B$13&lt;&gt;"",$B$15&lt;&gt;"",$B$17&lt;&gt;"",$B$19&lt;&gt;"",$B$21&lt;&gt;"",$D$10&lt;&gt;"",$F$10&lt;&gt;"",$N$10&lt;&gt;"",$R$10&lt;&gt;"",$Z$10&lt;&gt;"")</formula>
    </cfRule>
  </conditionalFormatting>
  <conditionalFormatting sqref="B13:C14">
    <cfRule type="expression" priority="91" stopIfTrue="1">
      <formula>$B$13&lt;&gt;""</formula>
    </cfRule>
    <cfRule type="expression" dxfId="40" priority="92">
      <formula>OR($D$13&lt;&gt;"",$F$13&lt;&gt;"",$N$13&lt;&gt;"",$R$13&lt;&gt;"",$Z$13&lt;&gt;"")</formula>
    </cfRule>
  </conditionalFormatting>
  <conditionalFormatting sqref="B15:C16">
    <cfRule type="expression" priority="20" stopIfTrue="1">
      <formula>$B$15&lt;&gt;""</formula>
    </cfRule>
    <cfRule type="expression" dxfId="39" priority="21">
      <formula>OR($D$15&lt;&gt;"",$F$15&lt;&gt;"",$N$15&lt;&gt;"",$R$15&lt;&gt;"",$Z$15&lt;&gt;"")</formula>
    </cfRule>
  </conditionalFormatting>
  <conditionalFormatting sqref="B17:C18">
    <cfRule type="expression" dxfId="38" priority="12">
      <formula>OR($D$17&lt;&gt;"",$F$17&lt;&gt;"",$N$17&lt;&gt;"",$R$17&lt;&gt;"",$Z$17&lt;&gt;"")</formula>
    </cfRule>
    <cfRule type="expression" priority="11" stopIfTrue="1">
      <formula>$B$17&lt;&gt;""</formula>
    </cfRule>
  </conditionalFormatting>
  <conditionalFormatting sqref="B19:C20">
    <cfRule type="expression" priority="3" stopIfTrue="1">
      <formula>$B$19&lt;&gt;""</formula>
    </cfRule>
    <cfRule type="expression" dxfId="37" priority="4">
      <formula>OR($D$19&lt;&gt;"",$F$19&lt;&gt;"",$N$19&lt;&gt;"",$R$19&lt;&gt;"",$Z$19&lt;&gt;"")</formula>
    </cfRule>
  </conditionalFormatting>
  <conditionalFormatting sqref="B21:C22">
    <cfRule type="expression" dxfId="36" priority="2">
      <formula>OR($D$21&lt;&gt;"",$F$21&lt;&gt;"",$N$21&lt;&gt;"",$R$21&lt;&gt;"",$Z$21&lt;&gt;"")</formula>
    </cfRule>
    <cfRule type="expression" priority="1" stopIfTrue="1">
      <formula>$B$21&lt;&gt;""</formula>
    </cfRule>
  </conditionalFormatting>
  <conditionalFormatting sqref="D10:E12">
    <cfRule type="expression" priority="111" stopIfTrue="1">
      <formula>$D$10&lt;&gt;""</formula>
    </cfRule>
    <cfRule type="expression" dxfId="35" priority="112">
      <formula>$B$10&lt;&gt;""</formula>
    </cfRule>
  </conditionalFormatting>
  <conditionalFormatting sqref="D13:E14">
    <cfRule type="expression" dxfId="34" priority="169">
      <formula>$B$13=$AG$39</formula>
    </cfRule>
    <cfRule type="expression" priority="168" stopIfTrue="1">
      <formula>$D$13&lt;&gt;""</formula>
    </cfRule>
  </conditionalFormatting>
  <conditionalFormatting sqref="D15:E16">
    <cfRule type="expression" dxfId="33" priority="171">
      <formula>$B$15=$AG$39</formula>
    </cfRule>
    <cfRule type="expression" priority="170" stopIfTrue="1">
      <formula>$D$15&lt;&gt;""</formula>
    </cfRule>
  </conditionalFormatting>
  <conditionalFormatting sqref="D17:E18">
    <cfRule type="expression" dxfId="32" priority="173">
      <formula>$B$17=$AG$39</formula>
    </cfRule>
    <cfRule type="expression" priority="172" stopIfTrue="1">
      <formula>$D$17&lt;&gt;""</formula>
    </cfRule>
  </conditionalFormatting>
  <conditionalFormatting sqref="D19:E20">
    <cfRule type="expression" priority="174" stopIfTrue="1">
      <formula>$D$19&lt;&gt;""</formula>
    </cfRule>
    <cfRule type="expression" dxfId="31" priority="175">
      <formula>$B$19=$AG$39</formula>
    </cfRule>
  </conditionalFormatting>
  <conditionalFormatting sqref="D21:E22">
    <cfRule type="expression" dxfId="30" priority="177">
      <formula>$B$21=$AG$39</formula>
    </cfRule>
    <cfRule type="expression" priority="176" stopIfTrue="1">
      <formula>$D$21&lt;&gt;""</formula>
    </cfRule>
  </conditionalFormatting>
  <conditionalFormatting sqref="F10:F12">
    <cfRule type="expression" priority="109" stopIfTrue="1">
      <formula>$F$10&lt;&gt;""</formula>
    </cfRule>
    <cfRule type="expression" dxfId="29" priority="110">
      <formula>$B$10&lt;&gt;""</formula>
    </cfRule>
  </conditionalFormatting>
  <conditionalFormatting sqref="F13:F14">
    <cfRule type="expression" priority="178" stopIfTrue="1">
      <formula>$F$13&lt;&gt;""</formula>
    </cfRule>
    <cfRule type="expression" dxfId="28" priority="179">
      <formula>$B$13=$AG$39</formula>
    </cfRule>
  </conditionalFormatting>
  <conditionalFormatting sqref="F15:F16">
    <cfRule type="expression" dxfId="27" priority="181">
      <formula>$B$15=$AG$39</formula>
    </cfRule>
    <cfRule type="expression" priority="180" stopIfTrue="1">
      <formula>$F$15&lt;&gt;""</formula>
    </cfRule>
  </conditionalFormatting>
  <conditionalFormatting sqref="F17:F18">
    <cfRule type="expression" dxfId="26" priority="183">
      <formula>$B$17=$AG$39</formula>
    </cfRule>
    <cfRule type="expression" priority="182" stopIfTrue="1">
      <formula>$F$17&lt;&gt;""</formula>
    </cfRule>
  </conditionalFormatting>
  <conditionalFormatting sqref="F19:F20">
    <cfRule type="expression" priority="184" stopIfTrue="1">
      <formula>$F$19&lt;&gt;""</formula>
    </cfRule>
    <cfRule type="expression" dxfId="25" priority="185">
      <formula>$B$19=$AG$39</formula>
    </cfRule>
  </conditionalFormatting>
  <conditionalFormatting sqref="F21:F22">
    <cfRule type="expression" priority="186" stopIfTrue="1">
      <formula>$F$21&lt;&gt;""</formula>
    </cfRule>
    <cfRule type="expression" dxfId="24" priority="187">
      <formula>$B$21=$AG$39</formula>
    </cfRule>
  </conditionalFormatting>
  <conditionalFormatting sqref="H10:I12">
    <cfRule type="expression" priority="113" stopIfTrue="1">
      <formula>$H$10&lt;&gt;""</formula>
    </cfRule>
    <cfRule type="expression" dxfId="23" priority="114">
      <formula>$F$10&gt;8500000</formula>
    </cfRule>
  </conditionalFormatting>
  <conditionalFormatting sqref="H13:I14">
    <cfRule type="expression" dxfId="22" priority="40">
      <formula>$F$13&gt;8500000</formula>
    </cfRule>
    <cfRule type="expression" priority="38" stopIfTrue="1">
      <formula>$H$13&lt;&gt;""</formula>
    </cfRule>
  </conditionalFormatting>
  <conditionalFormatting sqref="H15:I16">
    <cfRule type="expression" dxfId="21" priority="37">
      <formula>$F$15&gt;8500000</formula>
    </cfRule>
    <cfRule type="expression" priority="36" stopIfTrue="1">
      <formula>$H$15&lt;&gt;""</formula>
    </cfRule>
  </conditionalFormatting>
  <conditionalFormatting sqref="H17:I18">
    <cfRule type="expression" dxfId="20" priority="35">
      <formula>$F$17&gt;8500000</formula>
    </cfRule>
    <cfRule type="expression" priority="34" stopIfTrue="1">
      <formula>$H$17&lt;&gt;""</formula>
    </cfRule>
  </conditionalFormatting>
  <conditionalFormatting sqref="H19:I20">
    <cfRule type="expression" priority="32" stopIfTrue="1">
      <formula>$H$19&lt;&gt;""</formula>
    </cfRule>
    <cfRule type="expression" dxfId="19" priority="33">
      <formula>$F$19&gt;8500000</formula>
    </cfRule>
  </conditionalFormatting>
  <conditionalFormatting sqref="H21:I22">
    <cfRule type="expression" dxfId="18" priority="31">
      <formula>$F$21&gt;8500000</formula>
    </cfRule>
    <cfRule type="expression" priority="30" stopIfTrue="1">
      <formula>$H$21&lt;&gt;""</formula>
    </cfRule>
  </conditionalFormatting>
  <conditionalFormatting sqref="N10:N12">
    <cfRule type="expression" dxfId="17" priority="108">
      <formula>$B$10&lt;&gt;""</formula>
    </cfRule>
    <cfRule type="expression" priority="107" stopIfTrue="1">
      <formula>$N$10&lt;&gt;""</formula>
    </cfRule>
  </conditionalFormatting>
  <conditionalFormatting sqref="N13:N14">
    <cfRule type="expression" priority="188" stopIfTrue="1">
      <formula>$N$13&lt;&gt;""</formula>
    </cfRule>
    <cfRule type="expression" dxfId="16" priority="189">
      <formula>$B$13=$AG$39</formula>
    </cfRule>
  </conditionalFormatting>
  <conditionalFormatting sqref="N15:N16">
    <cfRule type="expression" priority="190" stopIfTrue="1">
      <formula>$N$15&lt;&gt;""</formula>
    </cfRule>
    <cfRule type="expression" dxfId="15" priority="191">
      <formula>$B$15=$AG$39</formula>
    </cfRule>
  </conditionalFormatting>
  <conditionalFormatting sqref="N17:N18">
    <cfRule type="expression" priority="192" stopIfTrue="1">
      <formula>$N$17&lt;&gt;""</formula>
    </cfRule>
    <cfRule type="expression" dxfId="14" priority="193">
      <formula>$B$17=$AG$39</formula>
    </cfRule>
  </conditionalFormatting>
  <conditionalFormatting sqref="N19:N20">
    <cfRule type="expression" priority="194" stopIfTrue="1">
      <formula>$N$19&lt;&gt;""</formula>
    </cfRule>
    <cfRule type="expression" dxfId="13" priority="195">
      <formula>$B$19=$AG$39</formula>
    </cfRule>
  </conditionalFormatting>
  <conditionalFormatting sqref="N21:N22">
    <cfRule type="expression" priority="196" stopIfTrue="1">
      <formula>$N$21&lt;&gt;""</formula>
    </cfRule>
    <cfRule type="expression" dxfId="12" priority="197">
      <formula>$B$21=$AG$39</formula>
    </cfRule>
  </conditionalFormatting>
  <conditionalFormatting sqref="R10:R12">
    <cfRule type="expression" priority="105" stopIfTrue="1">
      <formula>$R$10&lt;&gt;""</formula>
    </cfRule>
    <cfRule type="expression" dxfId="11" priority="106">
      <formula>$B$10&lt;&gt;""</formula>
    </cfRule>
  </conditionalFormatting>
  <conditionalFormatting sqref="R13:R14">
    <cfRule type="expression" priority="198" stopIfTrue="1">
      <formula>$R$13&lt;&gt;""</formula>
    </cfRule>
    <cfRule type="expression" dxfId="10" priority="199">
      <formula>$B$13=$AG$39</formula>
    </cfRule>
  </conditionalFormatting>
  <conditionalFormatting sqref="R15:R16">
    <cfRule type="expression" priority="200" stopIfTrue="1">
      <formula>$R$15&lt;&gt;""</formula>
    </cfRule>
    <cfRule type="expression" dxfId="9" priority="201">
      <formula>$B$15=$AG$39</formula>
    </cfRule>
  </conditionalFormatting>
  <conditionalFormatting sqref="R17:R18">
    <cfRule type="expression" priority="202" stopIfTrue="1">
      <formula>$R$17&lt;&gt;""</formula>
    </cfRule>
    <cfRule type="expression" dxfId="8" priority="203">
      <formula>$B$17=$AG$39</formula>
    </cfRule>
  </conditionalFormatting>
  <conditionalFormatting sqref="R19:R20">
    <cfRule type="expression" priority="204" stopIfTrue="1">
      <formula>$R$19&lt;&gt;""</formula>
    </cfRule>
    <cfRule type="expression" dxfId="7" priority="205">
      <formula>$B$19=$AG$39</formula>
    </cfRule>
  </conditionalFormatting>
  <conditionalFormatting sqref="R21:R22">
    <cfRule type="expression" priority="206" stopIfTrue="1">
      <formula>$R$21&lt;&gt;""</formula>
    </cfRule>
    <cfRule type="expression" dxfId="6" priority="207">
      <formula>$B$21=$AG$39</formula>
    </cfRule>
  </conditionalFormatting>
  <conditionalFormatting sqref="Z10:Z12">
    <cfRule type="expression" priority="208" stopIfTrue="1">
      <formula>$Z$10&lt;&gt;""</formula>
    </cfRule>
    <cfRule type="expression" dxfId="5" priority="209">
      <formula>$B$10=$AG$39</formula>
    </cfRule>
  </conditionalFormatting>
  <conditionalFormatting sqref="Z13:Z14">
    <cfRule type="expression" priority="210" stopIfTrue="1">
      <formula>$Z$13&lt;&gt;""</formula>
    </cfRule>
    <cfRule type="expression" dxfId="4" priority="211">
      <formula>$B$13=$AG$39</formula>
    </cfRule>
  </conditionalFormatting>
  <conditionalFormatting sqref="Z15:Z16">
    <cfRule type="expression" priority="212" stopIfTrue="1">
      <formula>$Z$15&lt;&gt;""</formula>
    </cfRule>
    <cfRule type="expression" dxfId="3" priority="213">
      <formula>$B$15=$AG$39</formula>
    </cfRule>
  </conditionalFormatting>
  <conditionalFormatting sqref="Z17:Z18">
    <cfRule type="expression" priority="214" stopIfTrue="1">
      <formula>$Z$17&lt;&gt;""</formula>
    </cfRule>
    <cfRule type="expression" dxfId="2" priority="215">
      <formula>$B$17=$AG$39</formula>
    </cfRule>
  </conditionalFormatting>
  <conditionalFormatting sqref="Z19:Z20">
    <cfRule type="expression" priority="216" stopIfTrue="1">
      <formula>$Z$19&lt;&gt;""</formula>
    </cfRule>
    <cfRule type="expression" dxfId="1" priority="217">
      <formula>$B$19=$AG$39</formula>
    </cfRule>
  </conditionalFormatting>
  <conditionalFormatting sqref="Z21:Z22">
    <cfRule type="expression" priority="218" stopIfTrue="1">
      <formula>$Z$21&lt;&gt;""</formula>
    </cfRule>
    <cfRule type="expression" dxfId="0" priority="219">
      <formula>$B$21=$AG$39</formula>
    </cfRule>
  </conditionalFormatting>
  <dataValidations count="4">
    <dataValidation type="list" allowBlank="1" showInputMessage="1" showErrorMessage="1" sqref="H10:I22" xr:uid="{00000000-0002-0000-0100-000000000000}">
      <formula1>$AF$38:$AF$43</formula1>
    </dataValidation>
    <dataValidation type="list" allowBlank="1" showInputMessage="1" showErrorMessage="1" sqref="L10:M22" xr:uid="{00000000-0002-0000-0100-000001000000}">
      <formula1>$AG$33:$AG$34</formula1>
    </dataValidation>
    <dataValidation type="list" allowBlank="1" showInputMessage="1" showErrorMessage="1" sqref="B10:C12" xr:uid="{00000000-0002-0000-0100-000002000000}">
      <formula1>$AG$38:$AG$40</formula1>
    </dataValidation>
    <dataValidation type="list" allowBlank="1" showInputMessage="1" showErrorMessage="1" sqref="B13:C22" xr:uid="{00000000-0002-0000-0100-000003000000}">
      <formula1>$AG$38:$AG$39</formula1>
    </dataValidation>
  </dataValidations>
  <printOptions horizontalCentered="1"/>
  <pageMargins left="0.19685039370078741" right="0.19685039370078741" top="0.39370078740157483" bottom="0" header="0.31496062992125984" footer="0.31496062992125984"/>
  <pageSetup paperSize="9" scale="65" orientation="landscape" r:id="rId1"/>
  <colBreaks count="1" manualBreakCount="1">
    <brk id="31" max="6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注意事項等</vt:lpstr>
      <vt:lpstr>令和8年度試算シート</vt:lpstr>
      <vt:lpstr>令和8年度試算シート!Print_Area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2026-05-11T00:35:26Z</cp:lastPrinted>
  <dcterms:created xsi:type="dcterms:W3CDTF">2021-11-16T04:39:32Z</dcterms:created>
  <dcterms:modified xsi:type="dcterms:W3CDTF">2021-11-16T04:39:32Z</dcterms:modified>
</cp:coreProperties>
</file>